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7500"/>
  </bookViews>
  <sheets>
    <sheet name="Rearing Unit" sheetId="2" r:id="rId1"/>
  </sheets>
  <definedNames>
    <definedName name="_xlnm.Print_Area" localSheetId="0">'Rearing Unit'!$A$1:$V$69</definedName>
  </definedNames>
  <calcPr calcId="124519"/>
</workbook>
</file>

<file path=xl/calcChain.xml><?xml version="1.0" encoding="utf-8"?>
<calcChain xmlns="http://schemas.openxmlformats.org/spreadsheetml/2006/main">
  <c r="L42" i="2"/>
  <c r="K42"/>
  <c r="J42"/>
  <c r="I42"/>
  <c r="D37"/>
  <c r="D33"/>
  <c r="D32"/>
  <c r="L64"/>
  <c r="C56"/>
  <c r="U41"/>
  <c r="T41"/>
  <c r="G40"/>
  <c r="O40" s="1"/>
  <c r="O42" s="1"/>
  <c r="G38"/>
  <c r="C38"/>
  <c r="G37"/>
  <c r="G35"/>
  <c r="T35" s="1"/>
  <c r="G33"/>
  <c r="G32"/>
  <c r="E30"/>
  <c r="D30"/>
  <c r="G28"/>
  <c r="G27"/>
  <c r="G26"/>
  <c r="G23"/>
  <c r="D18"/>
  <c r="G18" s="1"/>
  <c r="G17"/>
  <c r="G9"/>
  <c r="G10"/>
  <c r="G8"/>
  <c r="T8" s="1"/>
  <c r="G63"/>
  <c r="G62"/>
  <c r="G48"/>
  <c r="G36" l="1"/>
  <c r="G34"/>
  <c r="K31" s="1"/>
  <c r="V35"/>
  <c r="G39"/>
  <c r="M37" s="1"/>
  <c r="V37"/>
  <c r="T37"/>
  <c r="G30"/>
  <c r="T30" s="1"/>
  <c r="G29"/>
  <c r="V29" s="1"/>
  <c r="D21"/>
  <c r="G19"/>
  <c r="J19" s="1"/>
  <c r="G11"/>
  <c r="T11" s="1"/>
  <c r="U11" s="1"/>
  <c r="U42" s="1"/>
  <c r="C62" s="1"/>
  <c r="L62" s="1"/>
  <c r="J30" l="1"/>
  <c r="K30"/>
  <c r="T34"/>
  <c r="V34" s="1"/>
  <c r="T39"/>
  <c r="V39" s="1"/>
  <c r="R36"/>
  <c r="T36"/>
  <c r="V36" s="1"/>
  <c r="L30"/>
  <c r="V30"/>
  <c r="K26"/>
  <c r="T29"/>
  <c r="J26"/>
  <c r="L19"/>
  <c r="G21"/>
  <c r="D22"/>
  <c r="G22" s="1"/>
  <c r="T19"/>
  <c r="V19"/>
  <c r="K19"/>
  <c r="I9"/>
  <c r="G24" l="1"/>
  <c r="K20" l="1"/>
  <c r="T24"/>
  <c r="V24"/>
  <c r="I20"/>
  <c r="J20"/>
  <c r="T40" l="1"/>
  <c r="V40"/>
  <c r="U17" l="1"/>
  <c r="V17"/>
  <c r="G13" l="1"/>
  <c r="G14"/>
  <c r="G15"/>
  <c r="G12"/>
  <c r="G16" l="1"/>
  <c r="I12" l="1"/>
  <c r="J12"/>
  <c r="K12"/>
  <c r="T16"/>
  <c r="V16" s="1"/>
  <c r="V42" s="1"/>
  <c r="C63" s="1"/>
  <c r="G6" l="1"/>
  <c r="T6" l="1"/>
  <c r="T42" s="1"/>
  <c r="C48" s="1"/>
  <c r="G7"/>
  <c r="T7" s="1"/>
  <c r="L60"/>
  <c r="L56"/>
  <c r="S42"/>
  <c r="C61" s="1"/>
  <c r="L61" s="1"/>
  <c r="R42"/>
  <c r="C59" s="1"/>
  <c r="L59" s="1"/>
  <c r="C57"/>
  <c r="L57" s="1"/>
  <c r="N42"/>
  <c r="C54" l="1"/>
  <c r="L54" s="1"/>
  <c r="M42"/>
  <c r="P42"/>
  <c r="C58" s="1"/>
  <c r="L58" s="1"/>
  <c r="C55" l="1"/>
  <c r="L55" s="1"/>
  <c r="C52"/>
  <c r="L63"/>
  <c r="L48"/>
  <c r="C66" s="1"/>
  <c r="C53" l="1"/>
  <c r="L53" s="1"/>
  <c r="L52"/>
  <c r="C51"/>
  <c r="L51" s="1"/>
  <c r="L65" l="1"/>
  <c r="C67" s="1"/>
  <c r="C68" s="1"/>
  <c r="F68" s="1"/>
</calcChain>
</file>

<file path=xl/sharedStrings.xml><?xml version="1.0" encoding="utf-8"?>
<sst xmlns="http://schemas.openxmlformats.org/spreadsheetml/2006/main" count="156" uniqueCount="98">
  <si>
    <t>SQM</t>
  </si>
  <si>
    <t>Sl.  No.</t>
  </si>
  <si>
    <t>No.</t>
  </si>
  <si>
    <t>Length
(M)</t>
  </si>
  <si>
    <t>Height
(M)</t>
  </si>
  <si>
    <t>Quantity</t>
  </si>
  <si>
    <t>Brick
(Nos.)</t>
  </si>
  <si>
    <t>Sand
(Cum)</t>
  </si>
  <si>
    <t>CHICKEN MESH
(SQM)</t>
  </si>
  <si>
    <t>DOOR
(NO)</t>
  </si>
  <si>
    <t>RIDGE
(M)</t>
  </si>
  <si>
    <t>USK</t>
  </si>
  <si>
    <t>SSK</t>
  </si>
  <si>
    <t>SK</t>
  </si>
  <si>
    <t>1/5th of the earth work in excavation</t>
  </si>
  <si>
    <t>125 mm thick brick work with cement mortar (1:4) in superstructure (24sqm/3SK+4USK)</t>
  </si>
  <si>
    <t>TOTAL QUANTITY</t>
  </si>
  <si>
    <t>WAGE COST :</t>
  </si>
  <si>
    <t>Sl. No.</t>
  </si>
  <si>
    <t>Item</t>
  </si>
  <si>
    <t>Unit</t>
  </si>
  <si>
    <t>Rate</t>
  </si>
  <si>
    <t>Amount</t>
  </si>
  <si>
    <t>USK Cost</t>
  </si>
  <si>
    <t>Nos.</t>
  </si>
  <si>
    <t>NON-WAGE COST</t>
  </si>
  <si>
    <t>Sl. No</t>
  </si>
  <si>
    <t>1st Clas Brick</t>
  </si>
  <si>
    <t>Cum</t>
  </si>
  <si>
    <t>Cement (ISO 9001)</t>
  </si>
  <si>
    <t>Bag</t>
  </si>
  <si>
    <t>CHICKEN MESH</t>
  </si>
  <si>
    <t>sqm</t>
  </si>
  <si>
    <t>DOOR</t>
  </si>
  <si>
    <t>rm</t>
  </si>
  <si>
    <t>C.G.I Sheet</t>
  </si>
  <si>
    <t>Sqm</t>
  </si>
  <si>
    <t>Ridge</t>
  </si>
  <si>
    <t>m</t>
  </si>
  <si>
    <t>Kg.</t>
  </si>
  <si>
    <t>S.K. Cost</t>
  </si>
  <si>
    <t>Display Wall &amp; First aid box</t>
  </si>
  <si>
    <t>Rs.</t>
  </si>
  <si>
    <t>Breadth
(M)</t>
  </si>
  <si>
    <t>Material</t>
  </si>
  <si>
    <t>Labour</t>
  </si>
  <si>
    <t>S.S.K.1 No Supervisor</t>
  </si>
  <si>
    <t>DESCRIPTION OF WORKS</t>
  </si>
  <si>
    <t>Total</t>
  </si>
  <si>
    <t xml:space="preserve">TOTAL COST : </t>
  </si>
  <si>
    <t>WAGE</t>
  </si>
  <si>
    <t>:NON WAGE</t>
  </si>
  <si>
    <t>Earth work in excavation in foundation trenches or drain in all sorts of soil asr required complete.(labour-@1.95cum/USK)</t>
  </si>
  <si>
    <t>Earth work in filling in foundation trenches or plinth with good earth …………………… layer complete.
1/5th of earth work in excavation.(labour-@4.6cum/USK)</t>
  </si>
  <si>
    <t>Earth work in filling in plinth with good earth …………………… layer complete.(labour-@1.95cum/USK)</t>
  </si>
  <si>
    <t>b) In Floor</t>
  </si>
  <si>
    <t>b) In Gl to PL</t>
  </si>
  <si>
    <t>c) PL to roof Truss</t>
  </si>
  <si>
    <t>d) Filler Wall upto GL</t>
  </si>
  <si>
    <t>Cement
(CuM)</t>
  </si>
  <si>
    <t>Damp Proof course 25mm thick(1:2:4)(labour-@18 sqm/2SK+3USK)  a) In piers</t>
  </si>
  <si>
    <t>b) For Wall</t>
  </si>
  <si>
    <t>Brick/Stone
Chips
(Cum)</t>
  </si>
  <si>
    <t>a) GL To PL</t>
  </si>
  <si>
    <t>b) Above PL</t>
  </si>
  <si>
    <t>c) Less for Door</t>
  </si>
  <si>
    <t>a) Outer Wall</t>
  </si>
  <si>
    <t>b) Inner Wall</t>
  </si>
  <si>
    <t>c) Brick Piers</t>
  </si>
  <si>
    <t>Plaster (to wall, floor, ceilling, etc) with sand and cement mortar including rounding off or clamfering corners ……… necessary(15mm thick) &amp; 1:6 ratio(labour-18sqm/2SK+3USK)</t>
  </si>
  <si>
    <t>20 mm artificial stone floor with stone chips(1:2:4 ) (which includes 3 mm thick neat cement finish) . 5 nos Sk. &amp; 3 nos Usk @ 24 Sqm. Stone chips ( 6 mm size ) 1.676 Cum % Sqm , Sand 0.838 Cum % Sqm, Cement 0.70 Cum % Sqm .</t>
  </si>
  <si>
    <t xml:space="preserve">b)   Inner Wall            </t>
  </si>
  <si>
    <t xml:space="preserve">Total </t>
  </si>
  <si>
    <t>Neat Cement punning about 1.5 mm thick in wall dado, window, sills, floor, drain etc.(labour-50sqm/2Sk+1Usk) &amp; Cement 0.152Cum/100Sqm</t>
  </si>
  <si>
    <t>Roor truss with 10 Cm Dia. Bamboo and Purlin with split bamboo (1/4) including fitting fixing with necessary nails etc complete.@ 1SK &amp; 2 USK/12 Sqm</t>
  </si>
  <si>
    <t>Corrugated PVC sheet
Sheet
(Sqm)</t>
  </si>
  <si>
    <t>BAMBOO in Nos.(Effective length 18'-0")
(RM)</t>
  </si>
  <si>
    <t>`12</t>
  </si>
  <si>
    <t xml:space="preserve">Timber(Cum)
</t>
  </si>
  <si>
    <t>Supplying, fitting &amp; fixing I.R.C fabric mesh with covering battens including cost of screws etc (labour @ 3USK &amp; 1 SK/ 18 Sqm of chicken wire mesh &amp; door)</t>
  </si>
  <si>
    <t>Supplying  Local Hard wood for frame</t>
  </si>
  <si>
    <t>J. Hook &amp; Nails
(Kg)</t>
  </si>
  <si>
    <t>Brick work with 1st class bricks in cement mortar (6:1) in foundation to plinth(labour-@1.4cum/1SK+2USK),    a) In brick pires</t>
  </si>
  <si>
    <t xml:space="preserve">TOTAL QUANTITY </t>
  </si>
  <si>
    <t>Single brick flat soling with first class brick including filling of joints with powdered sand. a) In foundation trech</t>
  </si>
  <si>
    <t>Water, creche &amp; supervisor</t>
  </si>
  <si>
    <t>ABSTRACT</t>
  </si>
  <si>
    <t>Medium Sand</t>
  </si>
  <si>
    <t>Brick /Stone Chips(6mm)</t>
  </si>
  <si>
    <t>TIMBER</t>
  </si>
  <si>
    <t>pcs</t>
  </si>
  <si>
    <t>Iron "J" Hook &amp; Nails</t>
  </si>
  <si>
    <t xml:space="preserve">BAMBOO( Effective length 5.5 m&amp; 10 Cm dia.)
</t>
  </si>
  <si>
    <t>SAY Rs.</t>
  </si>
  <si>
    <t>:</t>
  </si>
  <si>
    <t>ESTIMATE FOR CONSTRUCTION OF POULTRY REARING UNIT FOR 100 BIRDS</t>
  </si>
  <si>
    <t>TYPICAL ESTIMATE FOR CONSTRUCTION OF POULTRY SHED FOR 100 BIRDS</t>
  </si>
  <si>
    <t>Fixing Corrugated PVC Sheets including 6.0 m ridge fixing  complete.@ 1SK &amp; 2 USK/15 Sqm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</si>
</sst>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0.0000"/>
    <numFmt numFmtId="166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rgb="FF00B050"/>
      <name val="Arial"/>
      <family val="2"/>
    </font>
    <font>
      <b/>
      <sz val="14"/>
      <color theme="1"/>
      <name val="Arial"/>
      <family val="2"/>
    </font>
    <font>
      <sz val="11"/>
      <color rgb="FF00B0F0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4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3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="110" zoomScaleSheetLayoutView="110" workbookViewId="0">
      <pane ySplit="5" topLeftCell="A60" activePane="bottomLeft" state="frozen"/>
      <selection pane="bottomLeft" activeCell="I67" sqref="I67"/>
    </sheetView>
  </sheetViews>
  <sheetFormatPr defaultRowHeight="14.25"/>
  <cols>
    <col min="1" max="1" width="6" style="14" customWidth="1"/>
    <col min="2" max="2" width="37.85546875" style="41" customWidth="1"/>
    <col min="3" max="3" width="18" style="14" customWidth="1"/>
    <col min="4" max="4" width="11" style="14" customWidth="1"/>
    <col min="5" max="5" width="9.42578125" style="14" bestFit="1" customWidth="1"/>
    <col min="6" max="6" width="19.42578125" style="14" customWidth="1"/>
    <col min="7" max="7" width="11" style="14" bestFit="1" customWidth="1"/>
    <col min="8" max="8" width="9.140625" style="14" customWidth="1"/>
    <col min="9" max="9" width="11.7109375" style="14" customWidth="1"/>
    <col min="10" max="10" width="9" style="14" customWidth="1"/>
    <col min="11" max="11" width="8.5703125" style="14" customWidth="1"/>
    <col min="12" max="12" width="13.140625" style="14" bestFit="1" customWidth="1"/>
    <col min="13" max="13" width="10.42578125" style="14" bestFit="1" customWidth="1"/>
    <col min="14" max="14" width="7.7109375" style="14" bestFit="1" customWidth="1"/>
    <col min="15" max="15" width="9.140625" style="14" bestFit="1" customWidth="1"/>
    <col min="16" max="16" width="12.42578125" style="14" customWidth="1"/>
    <col min="17" max="17" width="7.7109375" style="14" bestFit="1" customWidth="1"/>
    <col min="18" max="18" width="10.7109375" style="14" bestFit="1" customWidth="1"/>
    <col min="19" max="19" width="9.42578125" style="14" bestFit="1" customWidth="1"/>
    <col min="20" max="20" width="8" style="14" customWidth="1"/>
    <col min="21" max="21" width="10.5703125" style="14" bestFit="1" customWidth="1"/>
    <col min="22" max="22" width="13.28515625" style="14" bestFit="1" customWidth="1"/>
    <col min="23" max="16384" width="9.140625" style="14"/>
  </cols>
  <sheetData>
    <row r="1" spans="1:23" ht="20.2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0"/>
      <c r="T1" s="10"/>
      <c r="U1" s="10"/>
      <c r="V1" s="10"/>
    </row>
    <row r="2" spans="1:23">
      <c r="A2" s="10"/>
      <c r="B2" s="1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s="16" customFormat="1" ht="23.25">
      <c r="A3" s="60" t="s">
        <v>96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3" s="16" customFormat="1" ht="23.25">
      <c r="A4" s="3"/>
      <c r="B4" s="4"/>
      <c r="C4" s="3"/>
      <c r="D4" s="3"/>
      <c r="E4" s="3"/>
      <c r="F4" s="3"/>
      <c r="G4" s="3"/>
      <c r="H4" s="3"/>
      <c r="I4" s="61" t="s">
        <v>44</v>
      </c>
      <c r="J4" s="62"/>
      <c r="K4" s="62"/>
      <c r="L4" s="62"/>
      <c r="M4" s="62"/>
      <c r="N4" s="62"/>
      <c r="O4" s="62"/>
      <c r="P4" s="62"/>
      <c r="Q4" s="62"/>
      <c r="R4" s="62"/>
      <c r="S4" s="63"/>
      <c r="T4" s="61" t="s">
        <v>45</v>
      </c>
      <c r="U4" s="62"/>
      <c r="V4" s="63"/>
    </row>
    <row r="5" spans="1:23" s="16" customFormat="1" ht="46.5" customHeight="1">
      <c r="A5" s="5" t="s">
        <v>1</v>
      </c>
      <c r="B5" s="5" t="s">
        <v>47</v>
      </c>
      <c r="C5" s="5" t="s">
        <v>2</v>
      </c>
      <c r="D5" s="5" t="s">
        <v>3</v>
      </c>
      <c r="E5" s="5" t="s">
        <v>43</v>
      </c>
      <c r="F5" s="5" t="s">
        <v>4</v>
      </c>
      <c r="G5" s="5" t="s">
        <v>5</v>
      </c>
      <c r="H5" s="5" t="s">
        <v>20</v>
      </c>
      <c r="I5" s="5" t="s">
        <v>6</v>
      </c>
      <c r="J5" s="5" t="s">
        <v>7</v>
      </c>
      <c r="K5" s="5" t="s">
        <v>59</v>
      </c>
      <c r="L5" s="5" t="s">
        <v>62</v>
      </c>
      <c r="M5" s="5" t="s">
        <v>8</v>
      </c>
      <c r="N5" s="5" t="s">
        <v>9</v>
      </c>
      <c r="O5" s="5" t="s">
        <v>78</v>
      </c>
      <c r="P5" s="5" t="s">
        <v>76</v>
      </c>
      <c r="Q5" s="5" t="s">
        <v>10</v>
      </c>
      <c r="R5" s="5" t="s">
        <v>75</v>
      </c>
      <c r="S5" s="5" t="s">
        <v>81</v>
      </c>
      <c r="T5" s="5" t="s">
        <v>11</v>
      </c>
      <c r="U5" s="5" t="s">
        <v>12</v>
      </c>
      <c r="V5" s="5" t="s">
        <v>13</v>
      </c>
      <c r="W5" s="5"/>
    </row>
    <row r="6" spans="1:23" s="17" customFormat="1" ht="57">
      <c r="A6" s="5">
        <v>1</v>
      </c>
      <c r="B6" s="5" t="s">
        <v>52</v>
      </c>
      <c r="C6" s="5">
        <v>1</v>
      </c>
      <c r="D6" s="5">
        <v>18.5</v>
      </c>
      <c r="E6" s="5">
        <v>0.45</v>
      </c>
      <c r="F6" s="5">
        <v>0.45</v>
      </c>
      <c r="G6" s="5">
        <f>(C6*D6*E6*F6)</f>
        <v>3.7462500000000007</v>
      </c>
      <c r="H6" s="5" t="s">
        <v>28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>ROUNDUP(G6/1.95,0)</f>
        <v>2</v>
      </c>
      <c r="U6" s="5"/>
      <c r="V6" s="5"/>
      <c r="W6" s="5"/>
    </row>
    <row r="7" spans="1:23" s="17" customFormat="1" ht="57.75" customHeight="1">
      <c r="A7" s="5">
        <v>2</v>
      </c>
      <c r="B7" s="5" t="s">
        <v>53</v>
      </c>
      <c r="C7" s="5">
        <v>1</v>
      </c>
      <c r="D7" s="5" t="s">
        <v>14</v>
      </c>
      <c r="E7" s="5"/>
      <c r="F7" s="5"/>
      <c r="G7" s="5">
        <f>G6/5</f>
        <v>0.74925000000000019</v>
      </c>
      <c r="H7" s="5" t="s">
        <v>28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>ROUNDUP(G7/4.6,2)</f>
        <v>0.17</v>
      </c>
      <c r="U7" s="5"/>
      <c r="V7" s="5"/>
      <c r="W7" s="5"/>
    </row>
    <row r="8" spans="1:23" s="17" customFormat="1" ht="44.25" customHeight="1">
      <c r="A8" s="5">
        <v>3</v>
      </c>
      <c r="B8" s="5" t="s">
        <v>54</v>
      </c>
      <c r="C8" s="5">
        <v>1</v>
      </c>
      <c r="D8" s="5">
        <v>6</v>
      </c>
      <c r="E8" s="5">
        <v>3</v>
      </c>
      <c r="F8" s="5">
        <v>0.3</v>
      </c>
      <c r="G8" s="5">
        <f>F8*E8*D8</f>
        <v>5.3999999999999995</v>
      </c>
      <c r="H8" s="5" t="s">
        <v>28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>G8/1.95</f>
        <v>2.7692307692307692</v>
      </c>
      <c r="U8" s="5"/>
      <c r="V8" s="5"/>
      <c r="W8" s="5"/>
    </row>
    <row r="9" spans="1:23" s="17" customFormat="1" ht="45" customHeight="1">
      <c r="A9" s="64">
        <v>4</v>
      </c>
      <c r="B9" s="5" t="s">
        <v>84</v>
      </c>
      <c r="C9" s="5">
        <v>1</v>
      </c>
      <c r="D9" s="5">
        <v>18.5</v>
      </c>
      <c r="E9" s="5">
        <v>0.45</v>
      </c>
      <c r="F9" s="5"/>
      <c r="G9" s="5">
        <f>E9*D9</f>
        <v>8.3250000000000011</v>
      </c>
      <c r="H9" s="5"/>
      <c r="I9" s="67">
        <f>G11*32</f>
        <v>842.40000000000009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7" customFormat="1" ht="20.25" customHeight="1">
      <c r="A10" s="65"/>
      <c r="B10" s="5" t="s">
        <v>55</v>
      </c>
      <c r="C10" s="5">
        <v>1</v>
      </c>
      <c r="D10" s="5">
        <v>6</v>
      </c>
      <c r="E10" s="5">
        <v>3</v>
      </c>
      <c r="F10" s="5"/>
      <c r="G10" s="5">
        <f>E10*D10</f>
        <v>18</v>
      </c>
      <c r="H10" s="5"/>
      <c r="I10" s="6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7" customFormat="1" ht="18" customHeight="1">
      <c r="A11" s="66"/>
      <c r="B11" s="5" t="s">
        <v>16</v>
      </c>
      <c r="C11" s="5"/>
      <c r="D11" s="5"/>
      <c r="E11" s="5"/>
      <c r="F11" s="5"/>
      <c r="G11" s="5">
        <f>SUM(G9:G10)</f>
        <v>26.325000000000003</v>
      </c>
      <c r="H11" s="5"/>
      <c r="I11" s="69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>ROUND(G11*4/34,2)</f>
        <v>3.1</v>
      </c>
      <c r="U11" s="18">
        <f>T11/4</f>
        <v>0.77500000000000002</v>
      </c>
      <c r="V11" s="5"/>
      <c r="W11" s="5"/>
    </row>
    <row r="12" spans="1:23" s="20" customFormat="1" ht="59.25" customHeight="1">
      <c r="A12" s="64">
        <v>5</v>
      </c>
      <c r="B12" s="5" t="s">
        <v>82</v>
      </c>
      <c r="C12" s="5">
        <v>10</v>
      </c>
      <c r="D12" s="5">
        <v>0.375</v>
      </c>
      <c r="E12" s="5">
        <v>0.375</v>
      </c>
      <c r="F12" s="5">
        <v>0.375</v>
      </c>
      <c r="G12" s="6">
        <f>(C12*D12*E12*F12)</f>
        <v>0.52734375</v>
      </c>
      <c r="H12" s="5" t="s">
        <v>28</v>
      </c>
      <c r="I12" s="67">
        <f>G16*389</f>
        <v>1627.41796875</v>
      </c>
      <c r="J12" s="70">
        <f>G16*0.33</f>
        <v>1.3805859375</v>
      </c>
      <c r="K12" s="73">
        <f>G16*0.055</f>
        <v>0.23009765625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9"/>
    </row>
    <row r="13" spans="1:23" s="20" customFormat="1" ht="21" customHeight="1">
      <c r="A13" s="65"/>
      <c r="B13" s="5" t="s">
        <v>56</v>
      </c>
      <c r="C13" s="5">
        <v>10</v>
      </c>
      <c r="D13" s="5">
        <v>0.25</v>
      </c>
      <c r="E13" s="5">
        <v>0.25</v>
      </c>
      <c r="F13" s="5">
        <v>0.45</v>
      </c>
      <c r="G13" s="6">
        <f t="shared" ref="G13:G15" si="0">(C13*D13*E13*F13)</f>
        <v>0.28125</v>
      </c>
      <c r="H13" s="5"/>
      <c r="I13" s="68"/>
      <c r="J13" s="71"/>
      <c r="K13" s="7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9"/>
    </row>
    <row r="14" spans="1:23" s="20" customFormat="1" ht="30" customHeight="1">
      <c r="A14" s="65"/>
      <c r="B14" s="5" t="s">
        <v>57</v>
      </c>
      <c r="C14" s="5">
        <v>10</v>
      </c>
      <c r="D14" s="5">
        <v>0.25</v>
      </c>
      <c r="E14" s="5">
        <v>0.25</v>
      </c>
      <c r="F14" s="5">
        <v>3</v>
      </c>
      <c r="G14" s="5">
        <f t="shared" si="0"/>
        <v>1.875</v>
      </c>
      <c r="H14" s="5"/>
      <c r="I14" s="68"/>
      <c r="J14" s="71"/>
      <c r="K14" s="7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9"/>
    </row>
    <row r="15" spans="1:23" s="20" customFormat="1" ht="27.75" customHeight="1">
      <c r="A15" s="65"/>
      <c r="B15" s="5" t="s">
        <v>58</v>
      </c>
      <c r="C15" s="5">
        <v>1</v>
      </c>
      <c r="D15" s="5">
        <v>16</v>
      </c>
      <c r="E15" s="5">
        <v>0.25</v>
      </c>
      <c r="F15" s="5">
        <v>0.375</v>
      </c>
      <c r="G15" s="6">
        <f t="shared" si="0"/>
        <v>1.5</v>
      </c>
      <c r="H15" s="5"/>
      <c r="I15" s="68"/>
      <c r="J15" s="71"/>
      <c r="K15" s="7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9"/>
    </row>
    <row r="16" spans="1:23" s="20" customFormat="1" ht="17.25" customHeight="1">
      <c r="A16" s="66"/>
      <c r="B16" s="5" t="s">
        <v>83</v>
      </c>
      <c r="C16" s="5"/>
      <c r="D16" s="5"/>
      <c r="E16" s="5"/>
      <c r="F16" s="5"/>
      <c r="G16" s="6">
        <f>SUM(G12:G15)</f>
        <v>4.18359375</v>
      </c>
      <c r="H16" s="5"/>
      <c r="I16" s="69"/>
      <c r="J16" s="72"/>
      <c r="K16" s="75"/>
      <c r="L16" s="5"/>
      <c r="M16" s="5"/>
      <c r="N16" s="5"/>
      <c r="O16" s="5"/>
      <c r="P16" s="5"/>
      <c r="Q16" s="5"/>
      <c r="R16" s="5"/>
      <c r="S16" s="5"/>
      <c r="T16" s="21">
        <f>G16/1.4*2</f>
        <v>5.9765625</v>
      </c>
      <c r="U16" s="5"/>
      <c r="V16" s="18">
        <f>T16/2</f>
        <v>2.98828125</v>
      </c>
      <c r="W16" s="19"/>
    </row>
    <row r="17" spans="1:23" s="20" customFormat="1" ht="30.75" customHeight="1">
      <c r="A17" s="64">
        <v>6</v>
      </c>
      <c r="B17" s="5" t="s">
        <v>60</v>
      </c>
      <c r="C17" s="5">
        <v>10</v>
      </c>
      <c r="D17" s="5">
        <v>0.25</v>
      </c>
      <c r="E17" s="5">
        <v>0.25</v>
      </c>
      <c r="F17" s="5"/>
      <c r="G17" s="5">
        <f>E17*D17*C17</f>
        <v>0.625</v>
      </c>
      <c r="H17" s="5" t="s">
        <v>36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>ROUND(G17/18*3,0)</f>
        <v>0</v>
      </c>
      <c r="V17" s="5">
        <f>ROUNDUP((G17/18)*2,0)</f>
        <v>1</v>
      </c>
      <c r="W17" s="19"/>
    </row>
    <row r="18" spans="1:23" s="20" customFormat="1" ht="19.5" customHeight="1">
      <c r="A18" s="65"/>
      <c r="B18" s="5" t="s">
        <v>61</v>
      </c>
      <c r="C18" s="5">
        <v>1</v>
      </c>
      <c r="D18" s="5">
        <f>D15</f>
        <v>16</v>
      </c>
      <c r="E18" s="5">
        <v>0.125</v>
      </c>
      <c r="F18" s="5"/>
      <c r="G18" s="6">
        <f t="shared" ref="G18" si="1">E18*D18*C18</f>
        <v>2</v>
      </c>
      <c r="H18" s="5" t="s">
        <v>36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9"/>
    </row>
    <row r="19" spans="1:23" s="20" customFormat="1" ht="19.5" customHeight="1">
      <c r="A19" s="66"/>
      <c r="B19" s="5" t="s">
        <v>48</v>
      </c>
      <c r="C19" s="5"/>
      <c r="D19" s="5"/>
      <c r="E19" s="5"/>
      <c r="F19" s="5"/>
      <c r="G19" s="6">
        <f>SUM(G17:G18)</f>
        <v>2.625</v>
      </c>
      <c r="H19" s="5" t="s">
        <v>36</v>
      </c>
      <c r="I19" s="5"/>
      <c r="J19" s="6">
        <f>G19/100*1.12</f>
        <v>2.9400000000000003E-2</v>
      </c>
      <c r="K19" s="22">
        <f>G19/100*0.558</f>
        <v>1.4647500000000001E-2</v>
      </c>
      <c r="L19" s="6">
        <f>G19/100*2.23</f>
        <v>5.8537499999999999E-2</v>
      </c>
      <c r="M19" s="5"/>
      <c r="N19" s="5"/>
      <c r="O19" s="5"/>
      <c r="P19" s="5"/>
      <c r="Q19" s="5"/>
      <c r="R19" s="5"/>
      <c r="S19" s="5"/>
      <c r="T19" s="18">
        <f>G19/18*3</f>
        <v>0.4375</v>
      </c>
      <c r="U19" s="5"/>
      <c r="V19" s="6">
        <f>G19/18*2</f>
        <v>0.29166666666666669</v>
      </c>
      <c r="W19" s="19"/>
    </row>
    <row r="20" spans="1:23" s="20" customFormat="1" ht="42.75">
      <c r="A20" s="64">
        <v>7</v>
      </c>
      <c r="B20" s="5" t="s">
        <v>15</v>
      </c>
      <c r="C20" s="5"/>
      <c r="D20" s="2"/>
      <c r="E20" s="23"/>
      <c r="F20" s="5"/>
      <c r="G20" s="6"/>
      <c r="H20" s="5"/>
      <c r="I20" s="64">
        <f>ROUND(G24/100*4951,0)</f>
        <v>730</v>
      </c>
      <c r="J20" s="76">
        <f>G24/100*3.66</f>
        <v>0.53984999999999994</v>
      </c>
      <c r="K20" s="73">
        <f>G24/100*0.0914</f>
        <v>1.3481499999999999E-2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9"/>
    </row>
    <row r="21" spans="1:23" s="17" customFormat="1">
      <c r="A21" s="65"/>
      <c r="B21" s="5" t="s">
        <v>63</v>
      </c>
      <c r="C21" s="5">
        <v>1</v>
      </c>
      <c r="D21" s="5">
        <f>D18</f>
        <v>16</v>
      </c>
      <c r="E21" s="5">
        <v>0.45</v>
      </c>
      <c r="F21" s="5"/>
      <c r="G21" s="5">
        <f>E21*D21*C21</f>
        <v>7.2</v>
      </c>
      <c r="H21" s="5" t="s">
        <v>36</v>
      </c>
      <c r="I21" s="65"/>
      <c r="J21" s="77"/>
      <c r="K21" s="7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20" customFormat="1">
      <c r="A22" s="65"/>
      <c r="B22" s="5" t="s">
        <v>64</v>
      </c>
      <c r="C22" s="5">
        <v>1</v>
      </c>
      <c r="D22" s="5">
        <f>D21</f>
        <v>16</v>
      </c>
      <c r="E22" s="5">
        <v>0.5</v>
      </c>
      <c r="F22" s="5"/>
      <c r="G22" s="5">
        <f>E22*D22*C22</f>
        <v>8</v>
      </c>
      <c r="H22" s="5" t="s">
        <v>36</v>
      </c>
      <c r="I22" s="65"/>
      <c r="J22" s="77"/>
      <c r="K22" s="7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9"/>
    </row>
    <row r="23" spans="1:23" s="20" customFormat="1">
      <c r="A23" s="65"/>
      <c r="B23" s="5" t="s">
        <v>65</v>
      </c>
      <c r="C23" s="5">
        <v>1</v>
      </c>
      <c r="D23" s="5">
        <v>0.9</v>
      </c>
      <c r="E23" s="5">
        <v>0.5</v>
      </c>
      <c r="F23" s="5"/>
      <c r="G23" s="5">
        <f>-(E23*D23*C23)</f>
        <v>-0.45</v>
      </c>
      <c r="H23" s="5" t="s">
        <v>36</v>
      </c>
      <c r="I23" s="65"/>
      <c r="J23" s="77"/>
      <c r="K23" s="7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9"/>
    </row>
    <row r="24" spans="1:23" s="25" customFormat="1" ht="17.25" customHeight="1">
      <c r="A24" s="66"/>
      <c r="B24" s="5" t="s">
        <v>16</v>
      </c>
      <c r="C24" s="5"/>
      <c r="D24" s="5"/>
      <c r="E24" s="5"/>
      <c r="F24" s="5"/>
      <c r="G24" s="18">
        <f>SUM(G21:G23)</f>
        <v>14.75</v>
      </c>
      <c r="H24" s="5" t="s">
        <v>36</v>
      </c>
      <c r="I24" s="66"/>
      <c r="J24" s="78"/>
      <c r="K24" s="75"/>
      <c r="L24" s="5"/>
      <c r="M24" s="5"/>
      <c r="N24" s="5"/>
      <c r="O24" s="5"/>
      <c r="P24" s="5"/>
      <c r="Q24" s="5"/>
      <c r="R24" s="5"/>
      <c r="S24" s="5"/>
      <c r="T24" s="18">
        <f>G24/24*4</f>
        <v>2.4583333333333335</v>
      </c>
      <c r="U24" s="5"/>
      <c r="V24" s="18">
        <f>G24/24*3</f>
        <v>1.84375</v>
      </c>
      <c r="W24" s="24"/>
    </row>
    <row r="25" spans="1:23" s="10" customFormat="1" ht="82.5" customHeight="1">
      <c r="A25" s="64">
        <v>8</v>
      </c>
      <c r="B25" s="5" t="s">
        <v>69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"/>
    </row>
    <row r="26" spans="1:23" s="27" customFormat="1" ht="20.25" customHeight="1">
      <c r="A26" s="65"/>
      <c r="B26" s="5" t="s">
        <v>66</v>
      </c>
      <c r="C26" s="5">
        <v>1</v>
      </c>
      <c r="D26" s="5">
        <v>19</v>
      </c>
      <c r="E26" s="5"/>
      <c r="F26" s="5">
        <v>0.95</v>
      </c>
      <c r="G26" s="5">
        <f>F26*D26*C26</f>
        <v>18.05</v>
      </c>
      <c r="H26" s="5" t="s">
        <v>36</v>
      </c>
      <c r="I26" s="5"/>
      <c r="J26" s="76">
        <f>G29/100*1.8</f>
        <v>0.49500000000000005</v>
      </c>
      <c r="K26" s="76">
        <f>G29/100*0.3</f>
        <v>8.2500000000000004E-2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26"/>
    </row>
    <row r="27" spans="1:23" s="27" customFormat="1" ht="20.25" customHeight="1">
      <c r="A27" s="65"/>
      <c r="B27" s="5" t="s">
        <v>67</v>
      </c>
      <c r="C27" s="5">
        <v>1</v>
      </c>
      <c r="D27" s="5">
        <v>18</v>
      </c>
      <c r="E27" s="5"/>
      <c r="F27" s="5">
        <v>0.5</v>
      </c>
      <c r="G27" s="5">
        <f>F27*D27*C27</f>
        <v>9</v>
      </c>
      <c r="H27" s="5" t="s">
        <v>36</v>
      </c>
      <c r="I27" s="5"/>
      <c r="J27" s="77"/>
      <c r="K27" s="7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6"/>
    </row>
    <row r="28" spans="1:23" s="27" customFormat="1" ht="17.25" customHeight="1">
      <c r="A28" s="65"/>
      <c r="B28" s="8" t="s">
        <v>68</v>
      </c>
      <c r="C28" s="8">
        <v>10</v>
      </c>
      <c r="D28" s="8">
        <v>1.4999999999999999E-2</v>
      </c>
      <c r="E28" s="8"/>
      <c r="F28" s="8">
        <v>3</v>
      </c>
      <c r="G28" s="8">
        <f>F28*D28*C28</f>
        <v>0.44999999999999996</v>
      </c>
      <c r="H28" s="8" t="s">
        <v>36</v>
      </c>
      <c r="I28" s="8"/>
      <c r="J28" s="77"/>
      <c r="K28" s="7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8"/>
    </row>
    <row r="29" spans="1:23" s="30" customFormat="1" ht="18" customHeight="1">
      <c r="A29" s="66"/>
      <c r="B29" s="8" t="s">
        <v>16</v>
      </c>
      <c r="C29" s="8"/>
      <c r="D29" s="8"/>
      <c r="E29" s="8"/>
      <c r="F29" s="8"/>
      <c r="G29" s="8">
        <f>SUM(G26:G28)</f>
        <v>27.5</v>
      </c>
      <c r="H29" s="8" t="s">
        <v>36</v>
      </c>
      <c r="I29" s="8"/>
      <c r="J29" s="78"/>
      <c r="K29" s="78"/>
      <c r="L29" s="8"/>
      <c r="M29" s="8"/>
      <c r="N29" s="8"/>
      <c r="O29" s="8"/>
      <c r="P29" s="8"/>
      <c r="Q29" s="8"/>
      <c r="R29" s="8"/>
      <c r="S29" s="8"/>
      <c r="T29" s="29">
        <f>G29/18*3</f>
        <v>4.583333333333333</v>
      </c>
      <c r="U29" s="8"/>
      <c r="V29" s="7">
        <f>G29/18*2</f>
        <v>3.0555555555555554</v>
      </c>
      <c r="W29" s="8"/>
    </row>
    <row r="30" spans="1:23" s="33" customFormat="1" ht="109.5" customHeight="1">
      <c r="A30" s="8">
        <v>9</v>
      </c>
      <c r="B30" s="31" t="s">
        <v>70</v>
      </c>
      <c r="C30" s="5">
        <v>1</v>
      </c>
      <c r="D30" s="5">
        <f>D10</f>
        <v>6</v>
      </c>
      <c r="E30" s="5">
        <f>E10</f>
        <v>3</v>
      </c>
      <c r="F30" s="5"/>
      <c r="G30" s="5">
        <f>E30*D30*C30</f>
        <v>18</v>
      </c>
      <c r="H30" s="5"/>
      <c r="I30" s="5"/>
      <c r="J30" s="6">
        <f>G30/100*0.838</f>
        <v>0.15084</v>
      </c>
      <c r="K30" s="6">
        <f>G30/100*0.7</f>
        <v>0.126</v>
      </c>
      <c r="L30" s="6">
        <f>G30/100*1.676</f>
        <v>0.30168</v>
      </c>
      <c r="M30" s="5"/>
      <c r="N30" s="5"/>
      <c r="O30" s="5"/>
      <c r="P30" s="5"/>
      <c r="Q30" s="5"/>
      <c r="R30" s="5"/>
      <c r="S30" s="32"/>
      <c r="T30" s="32">
        <f>G30/24*3</f>
        <v>2.25</v>
      </c>
      <c r="U30" s="32"/>
      <c r="V30" s="32">
        <f>G30/24*5</f>
        <v>3.75</v>
      </c>
    </row>
    <row r="31" spans="1:23" s="30" customFormat="1" ht="42.75" customHeight="1">
      <c r="A31" s="64">
        <v>10</v>
      </c>
      <c r="B31" s="5" t="s">
        <v>73</v>
      </c>
      <c r="C31" s="5"/>
      <c r="D31" s="5"/>
      <c r="E31" s="5"/>
      <c r="F31" s="5"/>
      <c r="G31" s="5"/>
      <c r="H31" s="5"/>
      <c r="I31" s="5"/>
      <c r="J31" s="5"/>
      <c r="K31" s="64">
        <f>G34/100*0.152</f>
        <v>2.6676000000000002E-2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30" customFormat="1" ht="20.25" customHeight="1">
      <c r="A32" s="65"/>
      <c r="B32" s="5" t="s">
        <v>66</v>
      </c>
      <c r="C32" s="5">
        <v>1</v>
      </c>
      <c r="D32" s="5">
        <f>D26</f>
        <v>19</v>
      </c>
      <c r="E32" s="5"/>
      <c r="F32" s="5">
        <v>0.45</v>
      </c>
      <c r="G32" s="5">
        <f>F32*D32*C32</f>
        <v>8.5500000000000007</v>
      </c>
      <c r="H32" s="5"/>
      <c r="I32" s="5"/>
      <c r="J32" s="5"/>
      <c r="K32" s="6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30" customFormat="1" ht="21.75" customHeight="1">
      <c r="A33" s="65"/>
      <c r="B33" s="5" t="s">
        <v>71</v>
      </c>
      <c r="C33" s="5">
        <v>1</v>
      </c>
      <c r="D33" s="5">
        <f>D27</f>
        <v>18</v>
      </c>
      <c r="E33" s="5"/>
      <c r="F33" s="5">
        <v>0.5</v>
      </c>
      <c r="G33" s="5">
        <f>F33*D33*C33</f>
        <v>9</v>
      </c>
      <c r="H33" s="5"/>
      <c r="I33" s="5"/>
      <c r="J33" s="5"/>
      <c r="K33" s="6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0" customFormat="1" ht="22.5" customHeight="1">
      <c r="A34" s="66"/>
      <c r="B34" s="5" t="s">
        <v>72</v>
      </c>
      <c r="C34" s="5"/>
      <c r="D34" s="5"/>
      <c r="E34" s="5"/>
      <c r="F34" s="5"/>
      <c r="G34" s="5">
        <f>SUM(G32:G33)</f>
        <v>17.55</v>
      </c>
      <c r="H34" s="5"/>
      <c r="I34" s="5"/>
      <c r="J34" s="5"/>
      <c r="K34" s="66"/>
      <c r="L34" s="5"/>
      <c r="M34" s="5"/>
      <c r="N34" s="5"/>
      <c r="O34" s="5"/>
      <c r="P34" s="5"/>
      <c r="Q34" s="5"/>
      <c r="R34" s="5"/>
      <c r="S34" s="5"/>
      <c r="T34" s="18">
        <f>G34/50</f>
        <v>0.35100000000000003</v>
      </c>
      <c r="U34" s="5"/>
      <c r="V34" s="18">
        <f>T34*2</f>
        <v>0.70200000000000007</v>
      </c>
      <c r="W34" s="1"/>
    </row>
    <row r="35" spans="1:23" s="34" customFormat="1" ht="65.25" customHeight="1">
      <c r="A35" s="5">
        <v>11</v>
      </c>
      <c r="B35" s="5" t="s">
        <v>74</v>
      </c>
      <c r="C35" s="5">
        <v>2</v>
      </c>
      <c r="D35" s="5">
        <v>6</v>
      </c>
      <c r="E35" s="5">
        <v>3.5</v>
      </c>
      <c r="F35" s="5"/>
      <c r="G35" s="5">
        <f>E35*D35*C35</f>
        <v>42</v>
      </c>
      <c r="H35" s="5" t="s">
        <v>36</v>
      </c>
      <c r="I35" s="5">
        <v>0</v>
      </c>
      <c r="J35" s="5">
        <v>0</v>
      </c>
      <c r="K35" s="5">
        <v>0</v>
      </c>
      <c r="L35" s="5">
        <v>0</v>
      </c>
      <c r="M35" s="5"/>
      <c r="N35" s="5"/>
      <c r="O35" s="5"/>
      <c r="P35" s="5">
        <v>15</v>
      </c>
      <c r="Q35" s="5"/>
      <c r="R35" s="5">
        <v>0</v>
      </c>
      <c r="S35" s="5">
        <v>0</v>
      </c>
      <c r="T35" s="18">
        <f>G35/12*2</f>
        <v>7</v>
      </c>
      <c r="U35" s="5">
        <v>0</v>
      </c>
      <c r="V35" s="18">
        <f>G35/12*1</f>
        <v>3.5</v>
      </c>
      <c r="W35" s="26"/>
    </row>
    <row r="36" spans="1:23" s="34" customFormat="1" ht="52.5" customHeight="1">
      <c r="A36" s="5" t="s">
        <v>77</v>
      </c>
      <c r="B36" s="58" t="s">
        <v>97</v>
      </c>
      <c r="C36" s="5"/>
      <c r="D36" s="5"/>
      <c r="E36" s="5"/>
      <c r="F36" s="5"/>
      <c r="G36" s="5">
        <f>G35</f>
        <v>42</v>
      </c>
      <c r="H36" s="5" t="s">
        <v>36</v>
      </c>
      <c r="I36" s="5"/>
      <c r="J36" s="5"/>
      <c r="K36" s="5"/>
      <c r="L36" s="5"/>
      <c r="M36" s="5"/>
      <c r="N36" s="5"/>
      <c r="O36" s="5"/>
      <c r="P36" s="5"/>
      <c r="Q36" s="5"/>
      <c r="R36" s="5">
        <f>G36</f>
        <v>42</v>
      </c>
      <c r="S36" s="5"/>
      <c r="T36" s="18">
        <f>G36/15*2</f>
        <v>5.6</v>
      </c>
      <c r="U36" s="5"/>
      <c r="V36" s="18">
        <f>T36/2</f>
        <v>2.8</v>
      </c>
      <c r="W36" s="26"/>
    </row>
    <row r="37" spans="1:23" s="35" customFormat="1" ht="48.75" customHeight="1">
      <c r="A37" s="64">
        <v>13</v>
      </c>
      <c r="B37" s="64" t="s">
        <v>79</v>
      </c>
      <c r="C37" s="5">
        <v>1</v>
      </c>
      <c r="D37" s="5">
        <f>D6</f>
        <v>18.5</v>
      </c>
      <c r="E37" s="5"/>
      <c r="F37" s="5">
        <v>1.95</v>
      </c>
      <c r="G37" s="5">
        <f>(D37*F37)</f>
        <v>36.074999999999996</v>
      </c>
      <c r="H37" s="5" t="s">
        <v>36</v>
      </c>
      <c r="I37" s="5"/>
      <c r="J37" s="5"/>
      <c r="K37" s="5"/>
      <c r="L37" s="5"/>
      <c r="M37" s="64">
        <f>G39</f>
        <v>39.074999999999996</v>
      </c>
      <c r="N37" s="5"/>
      <c r="O37" s="5"/>
      <c r="P37" s="5"/>
      <c r="Q37" s="5"/>
      <c r="R37" s="5"/>
      <c r="S37" s="5"/>
      <c r="T37" s="5">
        <f>(G37/13)*4</f>
        <v>11.099999999999998</v>
      </c>
      <c r="U37" s="5"/>
      <c r="V37" s="5">
        <f>ROUNDUP((G37/13)*2,0)</f>
        <v>6</v>
      </c>
      <c r="W37" s="5"/>
    </row>
    <row r="38" spans="1:23" s="27" customFormat="1" ht="23.25" customHeight="1">
      <c r="A38" s="65"/>
      <c r="B38" s="66"/>
      <c r="C38" s="5">
        <f>2*0.5</f>
        <v>1</v>
      </c>
      <c r="D38" s="5">
        <v>6</v>
      </c>
      <c r="E38" s="5"/>
      <c r="F38" s="5">
        <v>0.5</v>
      </c>
      <c r="G38" s="5">
        <f>(D38*F38)</f>
        <v>3</v>
      </c>
      <c r="H38" s="5" t="s">
        <v>36</v>
      </c>
      <c r="I38" s="5"/>
      <c r="J38" s="5"/>
      <c r="K38" s="5"/>
      <c r="L38" s="5"/>
      <c r="M38" s="6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30" customFormat="1" ht="27.75" customHeight="1">
      <c r="A39" s="66"/>
      <c r="B39" s="9" t="s">
        <v>48</v>
      </c>
      <c r="C39" s="5"/>
      <c r="D39" s="5"/>
      <c r="E39" s="5"/>
      <c r="F39" s="5"/>
      <c r="G39" s="5">
        <f>SUM(G37:G38)</f>
        <v>39.074999999999996</v>
      </c>
      <c r="H39" s="5" t="s">
        <v>36</v>
      </c>
      <c r="I39" s="5"/>
      <c r="J39" s="5"/>
      <c r="K39" s="5"/>
      <c r="L39" s="5"/>
      <c r="M39" s="66"/>
      <c r="N39" s="5"/>
      <c r="O39" s="5"/>
      <c r="P39" s="5"/>
      <c r="Q39" s="5"/>
      <c r="R39" s="5"/>
      <c r="S39" s="5">
        <v>5</v>
      </c>
      <c r="T39" s="18">
        <f>G39/18*3</f>
        <v>6.5124999999999993</v>
      </c>
      <c r="U39" s="5"/>
      <c r="V39" s="18">
        <f>T39/3</f>
        <v>2.1708333333333329</v>
      </c>
      <c r="W39" s="5"/>
    </row>
    <row r="40" spans="1:23" s="30" customFormat="1" ht="36" customHeight="1">
      <c r="A40" s="5">
        <v>14</v>
      </c>
      <c r="B40" s="5" t="s">
        <v>80</v>
      </c>
      <c r="C40" s="5">
        <v>1</v>
      </c>
      <c r="D40" s="5">
        <v>114.6</v>
      </c>
      <c r="E40" s="5">
        <v>7.4999999999999997E-2</v>
      </c>
      <c r="F40" s="5">
        <v>3.7499999999999999E-2</v>
      </c>
      <c r="G40" s="6">
        <f>F40*E40*D40*C40</f>
        <v>0.32231249999999995</v>
      </c>
      <c r="H40" s="5" t="s">
        <v>28</v>
      </c>
      <c r="I40" s="5"/>
      <c r="J40" s="5"/>
      <c r="K40" s="5"/>
      <c r="L40" s="5"/>
      <c r="M40" s="5"/>
      <c r="N40" s="5">
        <v>1</v>
      </c>
      <c r="O40" s="6">
        <f>G40</f>
        <v>0.32231249999999995</v>
      </c>
      <c r="P40" s="5"/>
      <c r="Q40" s="5"/>
      <c r="R40" s="6"/>
      <c r="T40" s="5">
        <f>(R40/37)*6</f>
        <v>0</v>
      </c>
      <c r="U40" s="5"/>
      <c r="V40" s="5">
        <f>(R40/37)*1</f>
        <v>0</v>
      </c>
      <c r="W40" s="5"/>
    </row>
    <row r="41" spans="1:23" s="30" customFormat="1" ht="36" customHeight="1">
      <c r="A41" s="5">
        <v>15</v>
      </c>
      <c r="B41" s="5" t="s">
        <v>85</v>
      </c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  <c r="O41" s="6"/>
      <c r="P41" s="5"/>
      <c r="Q41" s="5"/>
      <c r="R41" s="6"/>
      <c r="S41" s="36"/>
      <c r="T41" s="5">
        <f>85/50</f>
        <v>1.7</v>
      </c>
      <c r="U41" s="5">
        <f>85/25</f>
        <v>3.4</v>
      </c>
      <c r="V41" s="5"/>
      <c r="W41" s="5"/>
    </row>
    <row r="42" spans="1:23" s="38" customFormat="1" ht="42" customHeight="1">
      <c r="A42" s="82" t="s">
        <v>16</v>
      </c>
      <c r="B42" s="82"/>
      <c r="C42" s="82"/>
      <c r="D42" s="82"/>
      <c r="E42" s="82"/>
      <c r="F42" s="82"/>
      <c r="G42" s="82"/>
      <c r="H42" s="82"/>
      <c r="I42" s="37">
        <f>ROUND(SUM(I6:I40),0)</f>
        <v>3200</v>
      </c>
      <c r="J42" s="5">
        <f>ROUND(SUM(J6:J40),2)</f>
        <v>2.6</v>
      </c>
      <c r="K42" s="5">
        <f>ROUND(SUM(K6:K40),4)</f>
        <v>0.49340000000000001</v>
      </c>
      <c r="L42" s="18">
        <f>ROUND(SUM(L6:L40),2)</f>
        <v>0.36</v>
      </c>
      <c r="M42" s="21">
        <f t="shared" ref="M42:P42" si="2">SUM(M6:M40)</f>
        <v>39.074999999999996</v>
      </c>
      <c r="N42" s="5">
        <f t="shared" si="2"/>
        <v>1</v>
      </c>
      <c r="O42" s="22">
        <f>ROUND(SUM(O6:O40),4)</f>
        <v>0.32229999999999998</v>
      </c>
      <c r="P42" s="5">
        <f t="shared" si="2"/>
        <v>15</v>
      </c>
      <c r="Q42" s="5"/>
      <c r="R42" s="5">
        <f>SUM(R6:R40)</f>
        <v>42</v>
      </c>
      <c r="S42" s="6">
        <f>SUM(S6:S40)</f>
        <v>5</v>
      </c>
      <c r="T42" s="37">
        <f>ROUND(SUM(T6:T41),0)</f>
        <v>56</v>
      </c>
      <c r="U42" s="37">
        <f>ROUND(SUM(U6:U41),0)</f>
        <v>4</v>
      </c>
      <c r="V42" s="37">
        <f>ROUND(SUM(V6:V41),0)</f>
        <v>28</v>
      </c>
      <c r="W42" s="11"/>
    </row>
    <row r="43" spans="1:23" s="39" customFormat="1" ht="42" customHeight="1">
      <c r="A43" s="79" t="s">
        <v>86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42"/>
    </row>
    <row r="44" spans="1:23" s="27" customForma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11"/>
    </row>
    <row r="45" spans="1:23" s="27" customForma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11"/>
    </row>
    <row r="46" spans="1:23" s="27" customFormat="1">
      <c r="A46" s="11"/>
      <c r="B46" s="11" t="s">
        <v>17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27" customFormat="1" ht="28.5">
      <c r="A47" s="11" t="s">
        <v>18</v>
      </c>
      <c r="B47" s="11" t="s">
        <v>19</v>
      </c>
      <c r="C47" s="11" t="s">
        <v>5</v>
      </c>
      <c r="D47" s="11"/>
      <c r="E47" s="11" t="s">
        <v>20</v>
      </c>
      <c r="F47" s="11"/>
      <c r="G47" s="11" t="s">
        <v>21</v>
      </c>
      <c r="H47" s="11"/>
      <c r="I47" s="11"/>
      <c r="J47" s="11" t="s">
        <v>20</v>
      </c>
      <c r="K47" s="11"/>
      <c r="L47" s="11" t="s">
        <v>22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27" customFormat="1">
      <c r="A48" s="11">
        <v>1</v>
      </c>
      <c r="B48" s="11" t="s">
        <v>23</v>
      </c>
      <c r="C48" s="43">
        <f>T42</f>
        <v>56</v>
      </c>
      <c r="D48" s="11"/>
      <c r="E48" s="11" t="s">
        <v>24</v>
      </c>
      <c r="F48" s="11"/>
      <c r="G48" s="11">
        <f>180</f>
        <v>180</v>
      </c>
      <c r="H48" s="11"/>
      <c r="I48" s="11"/>
      <c r="J48" s="11" t="s">
        <v>24</v>
      </c>
      <c r="K48" s="11"/>
      <c r="L48" s="11">
        <f>C48*G48</f>
        <v>10080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27" customFormat="1">
      <c r="A49" s="11"/>
      <c r="B49" s="11" t="s">
        <v>25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27" customFormat="1" ht="28.5">
      <c r="A50" s="11" t="s">
        <v>26</v>
      </c>
      <c r="B50" s="11" t="s">
        <v>19</v>
      </c>
      <c r="C50" s="11" t="s">
        <v>5</v>
      </c>
      <c r="D50" s="11"/>
      <c r="E50" s="11" t="s">
        <v>20</v>
      </c>
      <c r="F50" s="11"/>
      <c r="G50" s="11" t="s">
        <v>21</v>
      </c>
      <c r="H50" s="11"/>
      <c r="I50" s="11"/>
      <c r="J50" s="11" t="s">
        <v>20</v>
      </c>
      <c r="K50" s="11"/>
      <c r="L50" s="11" t="s">
        <v>22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27" customFormat="1">
      <c r="A51" s="11">
        <v>1</v>
      </c>
      <c r="B51" s="11" t="s">
        <v>27</v>
      </c>
      <c r="C51" s="11">
        <f>I42</f>
        <v>3200</v>
      </c>
      <c r="D51" s="11"/>
      <c r="E51" s="11" t="s">
        <v>24</v>
      </c>
      <c r="F51" s="11"/>
      <c r="G51" s="11">
        <v>8</v>
      </c>
      <c r="H51" s="11"/>
      <c r="I51" s="11"/>
      <c r="J51" s="11" t="s">
        <v>24</v>
      </c>
      <c r="K51" s="11"/>
      <c r="L51" s="11">
        <f>(C51*G51)</f>
        <v>25600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27" customFormat="1">
      <c r="A52" s="11">
        <v>2</v>
      </c>
      <c r="B52" s="11" t="s">
        <v>87</v>
      </c>
      <c r="C52" s="11">
        <f>J42</f>
        <v>2.6</v>
      </c>
      <c r="D52" s="11"/>
      <c r="E52" s="11" t="s">
        <v>28</v>
      </c>
      <c r="F52" s="11"/>
      <c r="G52" s="11">
        <v>740</v>
      </c>
      <c r="H52" s="11"/>
      <c r="I52" s="11"/>
      <c r="J52" s="11" t="s">
        <v>28</v>
      </c>
      <c r="K52" s="11"/>
      <c r="L52" s="11">
        <f t="shared" ref="L52:L63" si="3">(C52*G52)</f>
        <v>1924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27" customFormat="1">
      <c r="A53" s="11">
        <v>3</v>
      </c>
      <c r="B53" s="11" t="s">
        <v>29</v>
      </c>
      <c r="C53" s="43">
        <f>K42/0.035</f>
        <v>14.097142857142856</v>
      </c>
      <c r="D53" s="11"/>
      <c r="E53" s="11" t="s">
        <v>30</v>
      </c>
      <c r="F53" s="11"/>
      <c r="G53" s="11">
        <v>370</v>
      </c>
      <c r="H53" s="11"/>
      <c r="I53" s="11"/>
      <c r="J53" s="11" t="s">
        <v>30</v>
      </c>
      <c r="K53" s="11"/>
      <c r="L53" s="11">
        <f t="shared" si="3"/>
        <v>5215.9428571428571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40" customFormat="1">
      <c r="A54" s="11">
        <v>4</v>
      </c>
      <c r="B54" s="11" t="s">
        <v>88</v>
      </c>
      <c r="C54" s="45">
        <f>L42</f>
        <v>0.36</v>
      </c>
      <c r="D54" s="11"/>
      <c r="E54" s="11" t="s">
        <v>28</v>
      </c>
      <c r="F54" s="11"/>
      <c r="G54" s="11">
        <v>972</v>
      </c>
      <c r="H54" s="11"/>
      <c r="I54" s="11"/>
      <c r="J54" s="11" t="s">
        <v>28</v>
      </c>
      <c r="K54" s="11"/>
      <c r="L54" s="11">
        <f t="shared" si="3"/>
        <v>349.91999999999996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27" customFormat="1">
      <c r="A55" s="11">
        <v>5</v>
      </c>
      <c r="B55" s="11" t="s">
        <v>31</v>
      </c>
      <c r="C55" s="44">
        <f>M42</f>
        <v>39.074999999999996</v>
      </c>
      <c r="D55" s="11"/>
      <c r="E55" s="11" t="s">
        <v>0</v>
      </c>
      <c r="F55" s="11"/>
      <c r="G55" s="11">
        <v>210.01</v>
      </c>
      <c r="H55" s="11"/>
      <c r="I55" s="11"/>
      <c r="J55" s="11" t="s">
        <v>32</v>
      </c>
      <c r="K55" s="11"/>
      <c r="L55" s="11">
        <f t="shared" si="3"/>
        <v>8206.1407499999987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27" customFormat="1">
      <c r="A56" s="11">
        <v>6</v>
      </c>
      <c r="B56" s="11" t="s">
        <v>33</v>
      </c>
      <c r="C56" s="11">
        <f>N42</f>
        <v>1</v>
      </c>
      <c r="D56" s="11"/>
      <c r="E56" s="11" t="s">
        <v>24</v>
      </c>
      <c r="F56" s="11"/>
      <c r="G56" s="11">
        <v>500</v>
      </c>
      <c r="H56" s="11"/>
      <c r="I56" s="11"/>
      <c r="J56" s="11" t="s">
        <v>24</v>
      </c>
      <c r="K56" s="11"/>
      <c r="L56" s="11">
        <f t="shared" si="3"/>
        <v>500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27" customFormat="1">
      <c r="A57" s="11">
        <v>7</v>
      </c>
      <c r="B57" s="11" t="s">
        <v>89</v>
      </c>
      <c r="C57" s="11">
        <f>O42</f>
        <v>0.32229999999999998</v>
      </c>
      <c r="D57" s="11"/>
      <c r="E57" s="11" t="s">
        <v>28</v>
      </c>
      <c r="F57" s="11"/>
      <c r="G57" s="11">
        <v>24720</v>
      </c>
      <c r="H57" s="11"/>
      <c r="I57" s="11"/>
      <c r="J57" s="11" t="s">
        <v>28</v>
      </c>
      <c r="K57" s="11"/>
      <c r="L57" s="11">
        <f t="shared" si="3"/>
        <v>7967.2559999999994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27" customFormat="1" ht="27.75" customHeight="1">
      <c r="A58" s="11">
        <v>8</v>
      </c>
      <c r="B58" s="11" t="s">
        <v>92</v>
      </c>
      <c r="C58" s="11">
        <f>P42</f>
        <v>15</v>
      </c>
      <c r="D58" s="11"/>
      <c r="E58" s="11" t="s">
        <v>24</v>
      </c>
      <c r="F58" s="11"/>
      <c r="G58" s="11">
        <v>180</v>
      </c>
      <c r="H58" s="11"/>
      <c r="I58" s="11"/>
      <c r="J58" s="11" t="s">
        <v>90</v>
      </c>
      <c r="K58" s="11"/>
      <c r="L58" s="11">
        <f t="shared" si="3"/>
        <v>2700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40" customFormat="1">
      <c r="A59" s="11">
        <v>9</v>
      </c>
      <c r="B59" s="11" t="s">
        <v>35</v>
      </c>
      <c r="C59" s="11">
        <f>R42</f>
        <v>42</v>
      </c>
      <c r="D59" s="11"/>
      <c r="E59" s="11" t="s">
        <v>36</v>
      </c>
      <c r="F59" s="11"/>
      <c r="G59" s="11">
        <v>220</v>
      </c>
      <c r="H59" s="11"/>
      <c r="I59" s="11"/>
      <c r="J59" s="11" t="s">
        <v>36</v>
      </c>
      <c r="K59" s="11"/>
      <c r="L59" s="11">
        <f t="shared" si="3"/>
        <v>9240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40" customFormat="1">
      <c r="A60" s="11">
        <v>11</v>
      </c>
      <c r="B60" s="11" t="s">
        <v>37</v>
      </c>
      <c r="C60" s="11">
        <v>8</v>
      </c>
      <c r="D60" s="11"/>
      <c r="E60" s="11" t="s">
        <v>38</v>
      </c>
      <c r="F60" s="11"/>
      <c r="G60" s="11">
        <v>70</v>
      </c>
      <c r="H60" s="11"/>
      <c r="I60" s="11"/>
      <c r="J60" s="11" t="s">
        <v>34</v>
      </c>
      <c r="K60" s="11"/>
      <c r="L60" s="11">
        <f t="shared" si="3"/>
        <v>560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40" customFormat="1">
      <c r="A61" s="11">
        <v>12</v>
      </c>
      <c r="B61" s="11" t="s">
        <v>91</v>
      </c>
      <c r="C61" s="11">
        <f>S42</f>
        <v>5</v>
      </c>
      <c r="D61" s="11"/>
      <c r="E61" s="11" t="s">
        <v>39</v>
      </c>
      <c r="F61" s="11"/>
      <c r="G61" s="11">
        <v>75</v>
      </c>
      <c r="H61" s="11"/>
      <c r="I61" s="11"/>
      <c r="J61" s="11" t="s">
        <v>39</v>
      </c>
      <c r="K61" s="11"/>
      <c r="L61" s="11">
        <f t="shared" si="3"/>
        <v>375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27" customFormat="1">
      <c r="A62" s="11">
        <v>14</v>
      </c>
      <c r="B62" s="11" t="s">
        <v>46</v>
      </c>
      <c r="C62" s="43">
        <f>U42</f>
        <v>4</v>
      </c>
      <c r="D62" s="11"/>
      <c r="E62" s="11" t="s">
        <v>24</v>
      </c>
      <c r="F62" s="11"/>
      <c r="G62" s="11">
        <f>1.5*180</f>
        <v>270</v>
      </c>
      <c r="H62" s="11"/>
      <c r="I62" s="11"/>
      <c r="J62" s="11" t="s">
        <v>24</v>
      </c>
      <c r="K62" s="11"/>
      <c r="L62" s="43">
        <f>C62*G62</f>
        <v>1080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27" customFormat="1">
      <c r="A63" s="11">
        <v>15</v>
      </c>
      <c r="B63" s="11" t="s">
        <v>40</v>
      </c>
      <c r="C63" s="43">
        <f>V42</f>
        <v>28</v>
      </c>
      <c r="D63" s="11"/>
      <c r="E63" s="11" t="s">
        <v>24</v>
      </c>
      <c r="F63" s="11"/>
      <c r="G63" s="11">
        <f>2*180</f>
        <v>360</v>
      </c>
      <c r="H63" s="11"/>
      <c r="I63" s="11"/>
      <c r="J63" s="11" t="s">
        <v>24</v>
      </c>
      <c r="K63" s="11"/>
      <c r="L63" s="11">
        <f t="shared" si="3"/>
        <v>10080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27" customFormat="1">
      <c r="A64" s="11">
        <v>16</v>
      </c>
      <c r="B64" s="11" t="s">
        <v>41</v>
      </c>
      <c r="C64" s="11"/>
      <c r="D64" s="11"/>
      <c r="E64" s="11" t="s">
        <v>24</v>
      </c>
      <c r="F64" s="11"/>
      <c r="G64" s="11">
        <v>2500</v>
      </c>
      <c r="H64" s="11"/>
      <c r="I64" s="11"/>
      <c r="J64" s="11" t="s">
        <v>24</v>
      </c>
      <c r="K64" s="11"/>
      <c r="L64" s="11">
        <f>G64</f>
        <v>2500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27" customFormat="1">
      <c r="A65" s="11"/>
      <c r="B65" s="11" t="s">
        <v>49</v>
      </c>
      <c r="C65" s="11"/>
      <c r="D65" s="11"/>
      <c r="E65" s="11"/>
      <c r="F65" s="11"/>
      <c r="G65" s="11"/>
      <c r="H65" s="11"/>
      <c r="I65" s="11"/>
      <c r="J65" s="11"/>
      <c r="K65" s="11" t="s">
        <v>42</v>
      </c>
      <c r="L65" s="11">
        <f>SUM(L51:L64)</f>
        <v>76298.259607142856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27" customFormat="1" ht="18">
      <c r="A66" s="12"/>
      <c r="B66" s="46" t="s">
        <v>17</v>
      </c>
      <c r="C66" s="47">
        <f>L48</f>
        <v>10080</v>
      </c>
      <c r="D66" s="48"/>
      <c r="E66" s="49" t="s">
        <v>50</v>
      </c>
      <c r="F66" s="49" t="s">
        <v>51</v>
      </c>
      <c r="G66" s="49">
        <v>11.7</v>
      </c>
      <c r="H66" s="49" t="s">
        <v>94</v>
      </c>
      <c r="I66" s="49">
        <v>88.3</v>
      </c>
      <c r="J66" s="48"/>
      <c r="K66" s="48"/>
      <c r="L66" s="48"/>
      <c r="M66" s="48"/>
      <c r="N66" s="48"/>
      <c r="O66" s="50"/>
      <c r="P66" s="51"/>
      <c r="Q66" s="50"/>
      <c r="R66" s="50"/>
      <c r="S66" s="50"/>
      <c r="T66" s="50"/>
      <c r="U66" s="50"/>
      <c r="V66" s="50"/>
    </row>
    <row r="67" spans="1:23" ht="18">
      <c r="A67" s="13"/>
      <c r="B67" s="52" t="s">
        <v>25</v>
      </c>
      <c r="C67" s="53">
        <f>L65</f>
        <v>76298.259607142856</v>
      </c>
      <c r="D67" s="54"/>
      <c r="E67" s="54"/>
      <c r="F67" s="54"/>
      <c r="G67" s="54"/>
      <c r="H67" s="54"/>
      <c r="I67" s="54"/>
      <c r="J67" s="54"/>
      <c r="K67" s="52"/>
      <c r="L67" s="52"/>
      <c r="M67" s="52"/>
      <c r="N67" s="52"/>
      <c r="O67" s="55"/>
      <c r="P67" s="55"/>
      <c r="Q67" s="55"/>
      <c r="R67" s="55"/>
      <c r="S67" s="55"/>
      <c r="T67" s="55"/>
      <c r="U67" s="55"/>
      <c r="V67" s="55"/>
    </row>
    <row r="68" spans="1:23" ht="18">
      <c r="A68" s="13"/>
      <c r="B68" s="54" t="s">
        <v>49</v>
      </c>
      <c r="C68" s="56">
        <f>SUM(C66:C67)</f>
        <v>86378.259607142856</v>
      </c>
      <c r="D68" s="54" t="s">
        <v>93</v>
      </c>
      <c r="E68" s="54"/>
      <c r="F68" s="56">
        <f>ROUND(C68,0)</f>
        <v>86378</v>
      </c>
      <c r="G68" s="54"/>
      <c r="H68" s="54"/>
      <c r="I68" s="54"/>
      <c r="J68" s="54"/>
      <c r="K68" s="52"/>
      <c r="L68" s="52"/>
      <c r="M68" s="52"/>
      <c r="N68" s="52"/>
      <c r="O68" s="55"/>
      <c r="P68" s="55"/>
      <c r="Q68" s="55"/>
      <c r="R68" s="55"/>
      <c r="S68" s="55"/>
      <c r="T68" s="55"/>
      <c r="U68" s="55"/>
      <c r="V68" s="55"/>
    </row>
    <row r="69" spans="1:23"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</sheetData>
  <mergeCells count="25">
    <mergeCell ref="A43:V45"/>
    <mergeCell ref="M37:M39"/>
    <mergeCell ref="A25:A29"/>
    <mergeCell ref="A37:A39"/>
    <mergeCell ref="A42:H42"/>
    <mergeCell ref="B37:B38"/>
    <mergeCell ref="J26:J29"/>
    <mergeCell ref="K26:K29"/>
    <mergeCell ref="K31:K34"/>
    <mergeCell ref="A1:R1"/>
    <mergeCell ref="A3:V3"/>
    <mergeCell ref="I4:S4"/>
    <mergeCell ref="T4:V4"/>
    <mergeCell ref="A31:A34"/>
    <mergeCell ref="A9:A11"/>
    <mergeCell ref="A12:A16"/>
    <mergeCell ref="A17:A19"/>
    <mergeCell ref="A20:A24"/>
    <mergeCell ref="I9:I11"/>
    <mergeCell ref="I12:I16"/>
    <mergeCell ref="J12:J16"/>
    <mergeCell ref="K12:K16"/>
    <mergeCell ref="I20:I24"/>
    <mergeCell ref="J20:J24"/>
    <mergeCell ref="K20:K24"/>
  </mergeCells>
  <printOptions horizontalCentered="1"/>
  <pageMargins left="0" right="0" top="0.25" bottom="0.2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Rearing Unit</vt:lpstr>
      <vt:lpstr>'Rearing Unit'!Print_Area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biplabofbesu</dc:creator>
  <cp:lastModifiedBy>ADMIN</cp:lastModifiedBy>
  <cp:lastPrinted>2014-08-25T13:51:17Z</cp:lastPrinted>
  <dcterms:created xsi:type="dcterms:W3CDTF">2014-08-08T09:54:10Z</dcterms:created>
  <dcterms:modified xsi:type="dcterms:W3CDTF">2017-06-13T08:49:03Z</dcterms:modified>
</cp:coreProperties>
</file>