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2120" windowHeight="8595" activeTab="3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Sheet1!$A$3:$T$22</definedName>
    <definedName name="_xlnm.Print_Area" localSheetId="1">Sheet2!$A$3:$J$18</definedName>
    <definedName name="_xlnm.Print_Area" localSheetId="2">Sheet3!$A$3:$G$18</definedName>
  </definedNames>
  <calcPr calcId="124519"/>
</workbook>
</file>

<file path=xl/calcChain.xml><?xml version="1.0" encoding="utf-8"?>
<calcChain xmlns="http://schemas.openxmlformats.org/spreadsheetml/2006/main">
  <c r="E18" i="4"/>
  <c r="E17"/>
  <c r="C12"/>
  <c r="E12" s="1"/>
  <c r="G8" i="3"/>
  <c r="F8"/>
  <c r="E8"/>
  <c r="E17" i="2"/>
  <c r="E16"/>
  <c r="C8"/>
  <c r="C7"/>
  <c r="H10" i="1"/>
  <c r="H9"/>
  <c r="D13" i="3" l="1"/>
  <c r="D11"/>
  <c r="H22" i="1"/>
  <c r="D14" i="3" s="1"/>
  <c r="H11" i="1"/>
  <c r="D10" i="3" s="1"/>
  <c r="H20" i="1"/>
  <c r="C13" i="2" s="1"/>
  <c r="H19" i="1"/>
  <c r="C12" i="2" s="1"/>
  <c r="H18" i="1"/>
  <c r="D6" i="3" s="1"/>
  <c r="E6" s="1"/>
  <c r="H8" i="1"/>
  <c r="D7" i="3" s="1"/>
  <c r="E7" s="1"/>
  <c r="H12" i="1"/>
  <c r="C10" i="2" s="1"/>
  <c r="C9" l="1"/>
  <c r="D9" i="3"/>
  <c r="G9" s="1"/>
  <c r="G8" i="2"/>
  <c r="G16" s="1"/>
  <c r="C15"/>
  <c r="E13" i="3"/>
  <c r="E10"/>
  <c r="E11"/>
  <c r="F9" i="2"/>
  <c r="I10"/>
  <c r="J12"/>
  <c r="H21" i="1"/>
  <c r="H10" i="2"/>
  <c r="G11" i="3"/>
  <c r="G13"/>
  <c r="E9" l="1"/>
  <c r="D12"/>
  <c r="C14" i="2"/>
  <c r="I14" s="1"/>
  <c r="J16"/>
  <c r="J17" s="1"/>
  <c r="C16" i="4" s="1"/>
  <c r="E16" s="1"/>
  <c r="I12" i="2"/>
  <c r="H12"/>
  <c r="I13"/>
  <c r="H13"/>
  <c r="F13"/>
  <c r="F16" s="1"/>
  <c r="F17" s="1"/>
  <c r="G17"/>
  <c r="C13" i="4" s="1"/>
  <c r="E13" s="1"/>
  <c r="H14" i="2" l="1"/>
  <c r="H16" s="1"/>
  <c r="H17" s="1"/>
  <c r="C14" i="4" s="1"/>
  <c r="E14" s="1"/>
  <c r="E12" i="3"/>
  <c r="G12"/>
  <c r="C11" i="4"/>
  <c r="E11" s="1"/>
  <c r="I15" i="2"/>
  <c r="I16" s="1"/>
  <c r="E14" i="3" l="1"/>
  <c r="D15" s="1"/>
  <c r="E15" s="1"/>
  <c r="D16" s="1"/>
  <c r="F16" s="1"/>
  <c r="G14"/>
  <c r="G17" s="1"/>
  <c r="I17" i="2"/>
  <c r="C15" i="4" s="1"/>
  <c r="E15" s="1"/>
  <c r="E17" i="3" l="1"/>
  <c r="E18" s="1"/>
  <c r="C6" i="4" s="1"/>
  <c r="E6" s="1"/>
  <c r="F17" i="3"/>
  <c r="G18"/>
  <c r="C9" i="4" s="1"/>
  <c r="E9" s="1"/>
  <c r="E21" l="1"/>
  <c r="F18" i="3"/>
  <c r="C8" i="4" s="1"/>
  <c r="E8" s="1"/>
  <c r="E19" s="1"/>
  <c r="E20" s="1"/>
  <c r="E22" l="1"/>
</calcChain>
</file>

<file path=xl/sharedStrings.xml><?xml version="1.0" encoding="utf-8"?>
<sst xmlns="http://schemas.openxmlformats.org/spreadsheetml/2006/main" count="190" uniqueCount="99">
  <si>
    <t>Description of Items</t>
  </si>
  <si>
    <t>Sl. No</t>
  </si>
  <si>
    <t>Length (m)</t>
  </si>
  <si>
    <t>Breadth (m)</t>
  </si>
  <si>
    <t>Height (m)</t>
  </si>
  <si>
    <t>Quantity</t>
  </si>
  <si>
    <t>Total Quantity</t>
  </si>
  <si>
    <t xml:space="preserve">Earth work in excavation </t>
  </si>
  <si>
    <t>P.C.C (1:2:4) with graded stone chips</t>
  </si>
  <si>
    <t>Brick on edge (Standard Brick Herringbone bond)</t>
  </si>
  <si>
    <t>1st class Brick work with Cement sand Mortar (1:4)</t>
  </si>
  <si>
    <t>Total</t>
  </si>
  <si>
    <t>Neat Cement Punning</t>
  </si>
  <si>
    <t>Sl.No</t>
  </si>
  <si>
    <t>Descripton of Items</t>
  </si>
  <si>
    <t>Unit</t>
  </si>
  <si>
    <t>-</t>
  </si>
  <si>
    <t xml:space="preserve">  Calculation Sheet</t>
  </si>
  <si>
    <t>Stone Chips m3</t>
  </si>
  <si>
    <t xml:space="preserve">      Cement        m3</t>
  </si>
  <si>
    <t>Brick on edge (with Standard Brick Herringbone bond)</t>
  </si>
  <si>
    <r>
      <t>m</t>
    </r>
    <r>
      <rPr>
        <vertAlign val="superscript"/>
        <sz val="11"/>
        <color theme="1"/>
        <rFont val="Times New Roman"/>
        <family val="1"/>
      </rPr>
      <t>2</t>
    </r>
  </si>
  <si>
    <r>
      <t>m</t>
    </r>
    <r>
      <rPr>
        <vertAlign val="superscript"/>
        <sz val="11"/>
        <color theme="1"/>
        <rFont val="Times New Roman"/>
        <family val="1"/>
      </rPr>
      <t>3</t>
    </r>
  </si>
  <si>
    <t>Brick work with (1:4) sand cement morter</t>
  </si>
  <si>
    <t>Cement Flush Pointing (1:3)</t>
  </si>
  <si>
    <t>Neat cement punning</t>
  </si>
  <si>
    <t>P.C.C  (1:2:4) With graded stone chips</t>
  </si>
  <si>
    <t>Desciption of Items</t>
  </si>
  <si>
    <t>Unskilled Labours</t>
  </si>
  <si>
    <t>Brick (Nos.)</t>
  </si>
  <si>
    <t>P.C.C (1:2:4)@ 2sk:3usk/2.0m3</t>
  </si>
  <si>
    <t>Brickwork with (1:4) cement sand morter @ 1sk: 2usk/ 1.4m3</t>
  </si>
  <si>
    <t>Brick on edge (with Standard Brick Herringbone bond) @ 1usk/29.00m3</t>
  </si>
  <si>
    <t>Neat cement punning @ 2sk: 1usk/ 50m2</t>
  </si>
  <si>
    <t>Cement Flush Pointing (1:3) @ 2sk: 1usk/ 18.00m2</t>
  </si>
  <si>
    <t>Wage Cost:-</t>
  </si>
  <si>
    <t>Non-Wage Cost:-</t>
  </si>
  <si>
    <t>Skilled labours</t>
  </si>
  <si>
    <t>Material Cost:-</t>
  </si>
  <si>
    <t>Sand (fine)</t>
  </si>
  <si>
    <t>Sand (medium)</t>
  </si>
  <si>
    <t>1st class Brick</t>
  </si>
  <si>
    <t>Cement</t>
  </si>
  <si>
    <t>Total Cost of the scheme:-</t>
  </si>
  <si>
    <t>12mm thick plaster (1:4)</t>
  </si>
  <si>
    <t xml:space="preserve">   Sand(Medium)   m3</t>
  </si>
  <si>
    <t>Road span:</t>
  </si>
  <si>
    <t>Box cutting in road embankment , Depth of cutting beyond 25 cm upto 30 cm</t>
  </si>
  <si>
    <t>Box cutting in road embankment , Depth of cutting beyond 25 cm upto 30 cm @ 1usk/12m2</t>
  </si>
  <si>
    <t>Bag</t>
  </si>
  <si>
    <t>Say</t>
  </si>
  <si>
    <t>No</t>
  </si>
  <si>
    <t>For Side Drain</t>
  </si>
  <si>
    <t>Sl. No.</t>
  </si>
  <si>
    <t>nos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</si>
  <si>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</si>
  <si>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t>Supervisor @ 1ssk/25usk</t>
  </si>
  <si>
    <t>Material consumption</t>
  </si>
  <si>
    <t>Item</t>
  </si>
  <si>
    <t>Rate per unit</t>
  </si>
  <si>
    <t>Amount (Rs.)</t>
  </si>
  <si>
    <t>Nos.</t>
  </si>
  <si>
    <t>Bags</t>
  </si>
  <si>
    <t>Earth work in excavation  @ 1usk/1.95 m3</t>
  </si>
  <si>
    <t>Display Board</t>
  </si>
  <si>
    <t>12mm thick plaster (1:4) Bredth={(2x0.125) + (0.250x2)+0.300}</t>
  </si>
  <si>
    <t>Cement Flush Pointing (1:3)
sand = 0.366 and cement 0.122 Cum per 100 sqm</t>
  </si>
  <si>
    <t>Stone (20 mm down)</t>
  </si>
  <si>
    <t>Length = 500 M</t>
  </si>
  <si>
    <t xml:space="preserve">   Sand (Fine)     m3</t>
  </si>
  <si>
    <t>For drain</t>
  </si>
  <si>
    <t>12mm thick plaster (1:4) cement sand morter @ 2sk: &amp; 3usk/ 18.0 m2</t>
  </si>
  <si>
    <t>2.0 m</t>
  </si>
  <si>
    <t>Brick Bats (40mm down size)</t>
  </si>
  <si>
    <t xml:space="preserve">Fine Sand </t>
  </si>
  <si>
    <t>Brick Bats</t>
  </si>
  <si>
    <t>Brick Bats      m3</t>
  </si>
  <si>
    <t>Spreding &amp; Consolidation with 8-10 Ton Power Rollar of 60% Brick Bats and 40% fine Sand @ 1sk:1ssk:10usk/150m2</t>
  </si>
  <si>
    <t>Semiskilled Labours  &amp; Supervisor</t>
  </si>
  <si>
    <t>Water Carier @1 / 100 Mandays</t>
  </si>
  <si>
    <t>Hire charges of Power Roller ( including fuel &amp; all other charges )</t>
  </si>
  <si>
    <t>Per day @ 42.5 Cum for compacted work</t>
  </si>
  <si>
    <t>Wage component</t>
  </si>
  <si>
    <t>Unskilled Person days</t>
  </si>
  <si>
    <t>Semi-skilled wages</t>
  </si>
  <si>
    <t>Skilled wages</t>
  </si>
  <si>
    <t>Spreding &amp; Consolidation by 8-10 Ton Power Rollar of 60% Brick Bats and 40% fine Sand @ 0.9 cum. Brick Bats &amp; 0.48 cum Fine Sand for 1 Cum Compacted Work.</t>
  </si>
  <si>
    <t>Typical estimate for Brick Soling Road with side drains (Both side)</t>
  </si>
  <si>
    <t xml:space="preserve">               Typical estimate for Brick Soling Road with side drains (Both side)</t>
  </si>
  <si>
    <t>Road Length = 500 M</t>
  </si>
  <si>
    <r>
      <t xml:space="preserve">               Typical estim</t>
    </r>
    <r>
      <rPr>
        <b/>
        <sz val="11"/>
        <color theme="1"/>
        <rFont val="Calibri"/>
        <family val="2"/>
        <scheme val="minor"/>
      </rPr>
      <t>ate for Brick Soling Road with side drains (Both side)</t>
    </r>
  </si>
  <si>
    <t>Non wage component      Rs.</t>
  </si>
  <si>
    <t>TOTAL                                       Rs.</t>
  </si>
  <si>
    <t>Wage Component               Rs.</t>
  </si>
  <si>
    <t>Rs.</t>
  </si>
  <si>
    <t>(Rupees Eighteen Lakhs Fiftyfive ThousandsNine Hundred Fortynine Only)</t>
  </si>
  <si>
    <t>Wage Cost</t>
  </si>
  <si>
    <t>:NonWage Cost</t>
  </si>
  <si>
    <t>8.6:91.4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</si>
</sst>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_-&quot;Rs.&quot;* #,##0.00_-;\-&quot;Rs.&quot;* #,##0.00_-;_-&quot;Rs.&quot;* &quot;-&quot;??_-;_-@_-"/>
    <numFmt numFmtId="166" formatCode="0.0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i/>
      <u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vertAlign val="superscript"/>
      <sz val="11"/>
      <color theme="1"/>
      <name val="Calibri"/>
      <family val="2"/>
      <scheme val="minor"/>
    </font>
    <font>
      <b/>
      <i/>
      <u/>
      <sz val="18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/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/>
    <xf numFmtId="0" fontId="0" fillId="0" borderId="4" xfId="0" applyBorder="1"/>
    <xf numFmtId="0" fontId="8" fillId="0" borderId="0" xfId="0" applyFont="1"/>
    <xf numFmtId="0" fontId="0" fillId="0" borderId="0" xfId="0" applyBorder="1"/>
    <xf numFmtId="0" fontId="2" fillId="2" borderId="0" xfId="0" applyFont="1" applyFill="1"/>
    <xf numFmtId="1" fontId="2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166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/>
    </xf>
    <xf numFmtId="0" fontId="1" fillId="0" borderId="0" xfId="0" applyFont="1"/>
    <xf numFmtId="2" fontId="2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0" xfId="0" applyFont="1"/>
    <xf numFmtId="0" fontId="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/>
    <xf numFmtId="0" fontId="0" fillId="0" borderId="0" xfId="0" applyFill="1" applyAlignment="1">
      <alignment horizontal="left" vertical="center"/>
    </xf>
    <xf numFmtId="0" fontId="0" fillId="0" borderId="0" xfId="0" applyFill="1"/>
    <xf numFmtId="0" fontId="4" fillId="0" borderId="0" xfId="0" applyFont="1" applyFill="1"/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2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Fill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9" xfId="0" applyFont="1" applyBorder="1" applyAlignment="1"/>
    <xf numFmtId="0" fontId="8" fillId="0" borderId="4" xfId="0" applyFont="1" applyBorder="1" applyAlignment="1"/>
    <xf numFmtId="165" fontId="13" fillId="0" borderId="0" xfId="0" applyNumberFormat="1" applyFont="1" applyAlignment="1">
      <alignment horizontal="right"/>
    </xf>
    <xf numFmtId="2" fontId="14" fillId="0" borderId="0" xfId="0" applyNumberFormat="1" applyFont="1" applyAlignment="1">
      <alignment horizontal="center"/>
    </xf>
    <xf numFmtId="0" fontId="15" fillId="0" borderId="0" xfId="0" applyFont="1"/>
    <xf numFmtId="0" fontId="16" fillId="0" borderId="0" xfId="0" applyFont="1"/>
    <xf numFmtId="165" fontId="17" fillId="0" borderId="0" xfId="0" applyNumberFormat="1" applyFont="1" applyAlignment="1">
      <alignment horizontal="right"/>
    </xf>
    <xf numFmtId="2" fontId="16" fillId="0" borderId="0" xfId="0" applyNumberFormat="1" applyFont="1" applyAlignment="1">
      <alignment horizontal="center"/>
    </xf>
    <xf numFmtId="0" fontId="14" fillId="0" borderId="0" xfId="0" applyFont="1" applyAlignment="1"/>
    <xf numFmtId="0" fontId="13" fillId="0" borderId="0" xfId="0" applyFont="1"/>
    <xf numFmtId="0" fontId="13" fillId="0" borderId="0" xfId="0" applyFont="1" applyAlignment="1">
      <alignment horizontal="right"/>
    </xf>
    <xf numFmtId="165" fontId="13" fillId="0" borderId="0" xfId="0" applyNumberFormat="1" applyFont="1" applyAlignment="1">
      <alignment horizontal="left"/>
    </xf>
  </cellXfs>
  <cellStyles count="1">
    <cellStyle name="Normal" xfId="0" builtinId="0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 Style 1" defaultPivotStyle="PivotStyleLight16">
    <tableStyle name="Table Style 1" pivot="0" count="2">
      <tableStyleElement type="wholeTable" dxfId="1"/>
      <tableStyleElement type="headerRow" dxfId="0"/>
    </tableStyle>
  </tableStyle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T22"/>
  <sheetViews>
    <sheetView view="pageBreakPreview" topLeftCell="A10" zoomScaleSheetLayoutView="100" workbookViewId="0">
      <selection activeCell="C6" sqref="C6"/>
    </sheetView>
  </sheetViews>
  <sheetFormatPr defaultRowHeight="15"/>
  <cols>
    <col min="1" max="1" width="6.7109375" style="58" customWidth="1"/>
    <col min="2" max="2" width="36" style="57" customWidth="1"/>
    <col min="3" max="3" width="10.42578125" style="58" customWidth="1"/>
    <col min="4" max="5" width="9.85546875" style="58" customWidth="1"/>
    <col min="6" max="6" width="9" style="58" customWidth="1"/>
    <col min="7" max="7" width="8.85546875" style="58" customWidth="1"/>
    <col min="8" max="8" width="11.28515625" style="58" customWidth="1"/>
    <col min="9" max="14" width="9.140625" style="58" hidden="1" customWidth="1"/>
    <col min="15" max="15" width="0.140625" style="58" customWidth="1"/>
    <col min="16" max="20" width="9.140625" style="58" hidden="1" customWidth="1"/>
    <col min="21" max="16384" width="9.140625" style="58"/>
  </cols>
  <sheetData>
    <row r="1" spans="1:8">
      <c r="A1" s="112"/>
      <c r="B1" s="112"/>
      <c r="C1" s="112"/>
      <c r="D1" s="112"/>
      <c r="E1" s="112"/>
      <c r="F1" s="112"/>
      <c r="G1" s="112"/>
      <c r="H1" s="112"/>
    </row>
    <row r="2" spans="1:8">
      <c r="A2" s="112"/>
      <c r="B2" s="112"/>
      <c r="C2" s="112"/>
      <c r="D2" s="112"/>
      <c r="E2" s="112"/>
      <c r="F2" s="112"/>
      <c r="G2" s="112"/>
      <c r="H2" s="112"/>
    </row>
    <row r="3" spans="1:8" s="55" customFormat="1" ht="23.25">
      <c r="A3" s="89" t="s">
        <v>17</v>
      </c>
      <c r="B3" s="89"/>
      <c r="C3" s="89"/>
      <c r="D3" s="89"/>
      <c r="E3" s="89"/>
      <c r="F3" s="89"/>
      <c r="G3" s="89"/>
      <c r="H3" s="89"/>
    </row>
    <row r="4" spans="1:8">
      <c r="B4" s="57" t="s">
        <v>90</v>
      </c>
    </row>
    <row r="5" spans="1:8" ht="21">
      <c r="A5" s="56"/>
    </row>
    <row r="6" spans="1:8" ht="18.75">
      <c r="A6" s="114" t="s">
        <v>89</v>
      </c>
      <c r="B6" s="114"/>
    </row>
    <row r="7" spans="1:8" s="64" customFormat="1" ht="31.5" customHeight="1">
      <c r="A7" s="60" t="s">
        <v>1</v>
      </c>
      <c r="B7" s="61" t="s">
        <v>0</v>
      </c>
      <c r="C7" s="62" t="s">
        <v>15</v>
      </c>
      <c r="D7" s="63" t="s">
        <v>51</v>
      </c>
      <c r="E7" s="63" t="s">
        <v>2</v>
      </c>
      <c r="F7" s="63" t="s">
        <v>3</v>
      </c>
      <c r="G7" s="63" t="s">
        <v>4</v>
      </c>
      <c r="H7" s="63" t="s">
        <v>5</v>
      </c>
    </row>
    <row r="8" spans="1:8" s="69" customFormat="1" ht="38.25" customHeight="1">
      <c r="A8" s="65">
        <v>1</v>
      </c>
      <c r="B8" s="66" t="s">
        <v>47</v>
      </c>
      <c r="C8" s="31" t="s">
        <v>22</v>
      </c>
      <c r="D8" s="31">
        <v>1</v>
      </c>
      <c r="E8" s="31">
        <v>500</v>
      </c>
      <c r="F8" s="67">
        <v>2</v>
      </c>
      <c r="G8" s="68" t="s">
        <v>16</v>
      </c>
      <c r="H8" s="67">
        <f>D8*E8*F8</f>
        <v>1000</v>
      </c>
    </row>
    <row r="9" spans="1:8" s="69" customFormat="1" ht="41.25" customHeight="1">
      <c r="A9" s="92">
        <v>2</v>
      </c>
      <c r="B9" s="90" t="s">
        <v>86</v>
      </c>
      <c r="C9" s="31" t="s">
        <v>22</v>
      </c>
      <c r="D9" s="31">
        <v>1</v>
      </c>
      <c r="E9" s="31">
        <v>500</v>
      </c>
      <c r="F9" s="67">
        <v>2</v>
      </c>
      <c r="G9" s="68">
        <v>0.1</v>
      </c>
      <c r="H9" s="67">
        <f>D9*E9*F9*G9*0.9</f>
        <v>90</v>
      </c>
    </row>
    <row r="10" spans="1:8" s="69" customFormat="1" ht="41.25" customHeight="1">
      <c r="A10" s="93"/>
      <c r="B10" s="91"/>
      <c r="C10" s="31" t="s">
        <v>22</v>
      </c>
      <c r="D10" s="31">
        <v>1</v>
      </c>
      <c r="E10" s="31">
        <v>500</v>
      </c>
      <c r="F10" s="67">
        <v>2</v>
      </c>
      <c r="G10" s="68">
        <v>0.1</v>
      </c>
      <c r="H10" s="67">
        <f>D10*E10*F10*G10*0.48</f>
        <v>48</v>
      </c>
    </row>
    <row r="11" spans="1:8" s="69" customFormat="1" ht="36" customHeight="1">
      <c r="A11" s="65">
        <v>3</v>
      </c>
      <c r="B11" s="66" t="s">
        <v>9</v>
      </c>
      <c r="C11" s="31" t="s">
        <v>21</v>
      </c>
      <c r="D11" s="31">
        <v>1</v>
      </c>
      <c r="E11" s="31">
        <v>500</v>
      </c>
      <c r="F11" s="67">
        <v>2</v>
      </c>
      <c r="G11" s="68" t="s">
        <v>16</v>
      </c>
      <c r="H11" s="67">
        <f>D11*E11*F11</f>
        <v>1000</v>
      </c>
    </row>
    <row r="12" spans="1:8" s="69" customFormat="1" ht="25.5" customHeight="1">
      <c r="A12" s="65">
        <v>4</v>
      </c>
      <c r="B12" s="70" t="s">
        <v>24</v>
      </c>
      <c r="C12" s="31" t="s">
        <v>21</v>
      </c>
      <c r="D12" s="31">
        <v>1</v>
      </c>
      <c r="E12" s="31">
        <v>500</v>
      </c>
      <c r="F12" s="67">
        <v>2</v>
      </c>
      <c r="G12" s="68" t="s">
        <v>16</v>
      </c>
      <c r="H12" s="67">
        <f>D12*E12*F12</f>
        <v>1000</v>
      </c>
    </row>
    <row r="13" spans="1:8" s="69" customFormat="1">
      <c r="A13" s="71"/>
      <c r="B13" s="72"/>
      <c r="C13" s="71"/>
      <c r="D13" s="71"/>
      <c r="E13" s="71"/>
      <c r="F13" s="71"/>
      <c r="G13" s="71"/>
      <c r="H13" s="71"/>
    </row>
    <row r="14" spans="1:8" s="69" customFormat="1">
      <c r="A14" s="71"/>
      <c r="B14" s="72"/>
      <c r="C14" s="71"/>
      <c r="D14" s="71"/>
      <c r="E14" s="71"/>
      <c r="F14" s="71"/>
      <c r="G14" s="71"/>
      <c r="H14" s="71"/>
    </row>
    <row r="15" spans="1:8" s="69" customFormat="1" ht="21">
      <c r="A15" s="115" t="s">
        <v>52</v>
      </c>
      <c r="B15" s="115"/>
      <c r="C15" s="71"/>
      <c r="D15" s="71"/>
      <c r="E15" s="71"/>
      <c r="F15" s="71"/>
      <c r="G15" s="71"/>
      <c r="H15" s="71"/>
    </row>
    <row r="16" spans="1:8" s="69" customFormat="1" ht="18.75">
      <c r="A16" s="59" t="s">
        <v>68</v>
      </c>
      <c r="B16" s="72"/>
      <c r="C16" s="71"/>
      <c r="D16" s="71"/>
      <c r="E16" s="71"/>
      <c r="F16" s="71"/>
      <c r="G16" s="71"/>
      <c r="H16" s="71"/>
    </row>
    <row r="17" spans="1:8" s="69" customFormat="1" ht="28.5">
      <c r="A17" s="73" t="s">
        <v>1</v>
      </c>
      <c r="B17" s="74" t="s">
        <v>0</v>
      </c>
      <c r="C17" s="62" t="s">
        <v>15</v>
      </c>
      <c r="D17" s="63" t="s">
        <v>51</v>
      </c>
      <c r="E17" s="63" t="s">
        <v>2</v>
      </c>
      <c r="F17" s="63" t="s">
        <v>3</v>
      </c>
      <c r="G17" s="63" t="s">
        <v>4</v>
      </c>
      <c r="H17" s="63" t="s">
        <v>5</v>
      </c>
    </row>
    <row r="18" spans="1:8" s="69" customFormat="1" ht="21.75" customHeight="1">
      <c r="A18" s="65">
        <v>1</v>
      </c>
      <c r="B18" s="70" t="s">
        <v>7</v>
      </c>
      <c r="C18" s="31" t="s">
        <v>22</v>
      </c>
      <c r="D18" s="31">
        <v>2</v>
      </c>
      <c r="E18" s="31">
        <v>500</v>
      </c>
      <c r="F18" s="68">
        <v>0.9</v>
      </c>
      <c r="G18" s="68">
        <v>0.3</v>
      </c>
      <c r="H18" s="68">
        <f>D18*E18*F18*G18</f>
        <v>270</v>
      </c>
    </row>
    <row r="19" spans="1:8" s="69" customFormat="1" ht="24.75" customHeight="1">
      <c r="A19" s="65">
        <v>2</v>
      </c>
      <c r="B19" s="66" t="s">
        <v>8</v>
      </c>
      <c r="C19" s="31" t="s">
        <v>22</v>
      </c>
      <c r="D19" s="31">
        <v>2</v>
      </c>
      <c r="E19" s="31">
        <v>500</v>
      </c>
      <c r="F19" s="67">
        <v>0.9</v>
      </c>
      <c r="G19" s="68">
        <v>0.1</v>
      </c>
      <c r="H19" s="68">
        <f>D19*E19*F19*G19</f>
        <v>90</v>
      </c>
    </row>
    <row r="20" spans="1:8" s="69" customFormat="1" ht="30">
      <c r="A20" s="65">
        <v>3</v>
      </c>
      <c r="B20" s="66" t="s">
        <v>10</v>
      </c>
      <c r="C20" s="31" t="s">
        <v>22</v>
      </c>
      <c r="D20" s="31">
        <v>4</v>
      </c>
      <c r="E20" s="31">
        <v>500</v>
      </c>
      <c r="F20" s="67">
        <v>0.25</v>
      </c>
      <c r="G20" s="68">
        <v>0.2</v>
      </c>
      <c r="H20" s="67">
        <f>D20*E20*F20*G20</f>
        <v>100</v>
      </c>
    </row>
    <row r="21" spans="1:8" s="69" customFormat="1" ht="30">
      <c r="A21" s="65">
        <v>5</v>
      </c>
      <c r="B21" s="75" t="s">
        <v>65</v>
      </c>
      <c r="C21" s="31" t="s">
        <v>21</v>
      </c>
      <c r="D21" s="31">
        <v>2</v>
      </c>
      <c r="E21" s="31">
        <v>500</v>
      </c>
      <c r="F21" s="67">
        <v>1.2</v>
      </c>
      <c r="G21" s="68" t="s">
        <v>16</v>
      </c>
      <c r="H21" s="67">
        <f>D21*E21*F21</f>
        <v>1200</v>
      </c>
    </row>
    <row r="22" spans="1:8" ht="23.25" customHeight="1">
      <c r="A22" s="65">
        <v>6</v>
      </c>
      <c r="B22" s="70" t="s">
        <v>12</v>
      </c>
      <c r="C22" s="31" t="s">
        <v>21</v>
      </c>
      <c r="D22" s="31">
        <v>2</v>
      </c>
      <c r="E22" s="31">
        <v>500</v>
      </c>
      <c r="F22" s="67">
        <v>1.2</v>
      </c>
      <c r="G22" s="68" t="s">
        <v>16</v>
      </c>
      <c r="H22" s="67">
        <f>D22*E22*F22</f>
        <v>1200</v>
      </c>
    </row>
  </sheetData>
  <mergeCells count="6">
    <mergeCell ref="A15:B15"/>
    <mergeCell ref="A3:H3"/>
    <mergeCell ref="B9:B10"/>
    <mergeCell ref="A9:A10"/>
    <mergeCell ref="A1:H2"/>
    <mergeCell ref="A6:B6"/>
  </mergeCells>
  <printOptions horizontalCentered="1"/>
  <pageMargins left="0.31496062992125984" right="0.31496062992125984" top="0.31496062992125984" bottom="0.31496062992125984" header="0.19685039370078741" footer="0.11811023622047245"/>
  <pageSetup paperSize="9" orientation="landscape" horizontalDpi="300" verticalDpi="300" r:id="rId1"/>
  <headerFooter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K26"/>
  <sheetViews>
    <sheetView view="pageBreakPreview" zoomScaleSheetLayoutView="100" workbookViewId="0">
      <selection activeCell="E1" sqref="E1"/>
    </sheetView>
  </sheetViews>
  <sheetFormatPr defaultRowHeight="15"/>
  <cols>
    <col min="1" max="1" width="5.28515625" style="2" customWidth="1"/>
    <col min="2" max="2" width="32.85546875" style="3" customWidth="1"/>
    <col min="3" max="3" width="11.5703125" style="2" customWidth="1"/>
    <col min="4" max="5" width="10" style="2" customWidth="1"/>
    <col min="6" max="6" width="15.42578125" style="2" customWidth="1"/>
    <col min="7" max="7" width="13.5703125" style="2" customWidth="1"/>
    <col min="8" max="8" width="15.5703125" style="2" customWidth="1"/>
    <col min="9" max="9" width="10.85546875" style="2" customWidth="1"/>
    <col min="10" max="10" width="12.140625" style="2" customWidth="1"/>
    <col min="11" max="11" width="9" style="2" customWidth="1"/>
  </cols>
  <sheetData>
    <row r="3" spans="1:11" ht="27" customHeight="1">
      <c r="A3" s="99" t="s">
        <v>57</v>
      </c>
      <c r="B3" s="99"/>
      <c r="C3" s="99"/>
      <c r="D3" s="99"/>
      <c r="E3" s="99"/>
      <c r="F3" s="99"/>
      <c r="G3" s="99"/>
      <c r="H3" s="99"/>
      <c r="I3" s="99"/>
      <c r="J3" s="99"/>
    </row>
    <row r="4" spans="1:11" ht="15.75" customHeight="1">
      <c r="A4" s="111" t="s">
        <v>88</v>
      </c>
      <c r="B4" s="111"/>
      <c r="C4" s="111"/>
      <c r="D4" s="111"/>
      <c r="E4" s="111"/>
      <c r="F4" s="111"/>
      <c r="G4" s="111"/>
      <c r="H4" s="111"/>
      <c r="I4" s="111"/>
      <c r="J4" s="111"/>
    </row>
    <row r="5" spans="1:11" ht="15.75" customHeight="1">
      <c r="A5" s="111"/>
      <c r="B5" s="111"/>
      <c r="C5" s="111"/>
      <c r="D5" s="111"/>
      <c r="E5" s="111"/>
      <c r="F5" s="111"/>
      <c r="G5" s="111"/>
      <c r="H5" s="111"/>
      <c r="I5" s="111"/>
      <c r="J5" s="111"/>
    </row>
    <row r="6" spans="1:11" s="13" customFormat="1" ht="49.5" customHeight="1">
      <c r="A6" s="12" t="s">
        <v>53</v>
      </c>
      <c r="B6" s="11" t="s">
        <v>14</v>
      </c>
      <c r="C6" s="11" t="s">
        <v>6</v>
      </c>
      <c r="D6" s="11" t="s">
        <v>15</v>
      </c>
      <c r="E6" s="11" t="s">
        <v>76</v>
      </c>
      <c r="F6" s="11" t="s">
        <v>29</v>
      </c>
      <c r="G6" s="11" t="s">
        <v>69</v>
      </c>
      <c r="H6" s="11" t="s">
        <v>45</v>
      </c>
      <c r="I6" s="11" t="s">
        <v>19</v>
      </c>
      <c r="J6" s="11" t="s">
        <v>18</v>
      </c>
    </row>
    <row r="7" spans="1:11" s="13" customFormat="1" ht="18">
      <c r="A7" s="83">
        <v>1</v>
      </c>
      <c r="B7" s="9" t="s">
        <v>73</v>
      </c>
      <c r="C7" s="39">
        <f>Sheet1!H9</f>
        <v>90</v>
      </c>
      <c r="D7" s="4" t="s">
        <v>22</v>
      </c>
      <c r="E7" s="4">
        <v>90</v>
      </c>
      <c r="F7" s="82"/>
      <c r="G7" s="82"/>
      <c r="H7" s="82"/>
      <c r="I7" s="82"/>
      <c r="J7" s="82"/>
    </row>
    <row r="8" spans="1:11" s="10" customFormat="1" ht="18">
      <c r="A8" s="5">
        <v>2</v>
      </c>
      <c r="B8" s="9" t="s">
        <v>74</v>
      </c>
      <c r="C8" s="7">
        <f>Sheet1!H10</f>
        <v>48</v>
      </c>
      <c r="D8" s="4" t="s">
        <v>22</v>
      </c>
      <c r="E8" s="4"/>
      <c r="F8" s="4" t="s">
        <v>16</v>
      </c>
      <c r="G8" s="7">
        <f>C8</f>
        <v>48</v>
      </c>
      <c r="H8" s="8" t="s">
        <v>16</v>
      </c>
      <c r="I8" s="7" t="s">
        <v>16</v>
      </c>
      <c r="J8" s="8" t="s">
        <v>16</v>
      </c>
    </row>
    <row r="9" spans="1:11" ht="30">
      <c r="A9" s="5">
        <v>3</v>
      </c>
      <c r="B9" s="9" t="s">
        <v>20</v>
      </c>
      <c r="C9" s="7">
        <f>Sheet1!H11</f>
        <v>1000</v>
      </c>
      <c r="D9" s="4" t="s">
        <v>21</v>
      </c>
      <c r="E9" s="4"/>
      <c r="F9" s="38">
        <f>C9/100*5380</f>
        <v>53800</v>
      </c>
      <c r="G9" s="7" t="s">
        <v>16</v>
      </c>
      <c r="H9" s="7"/>
      <c r="I9" s="7" t="s">
        <v>16</v>
      </c>
      <c r="J9" s="8" t="s">
        <v>16</v>
      </c>
      <c r="K9"/>
    </row>
    <row r="10" spans="1:11" ht="48" customHeight="1">
      <c r="A10" s="77">
        <v>4</v>
      </c>
      <c r="B10" s="78" t="s">
        <v>66</v>
      </c>
      <c r="C10" s="79">
        <f>Sheet1!H12</f>
        <v>1000</v>
      </c>
      <c r="D10" s="80" t="s">
        <v>21</v>
      </c>
      <c r="E10" s="80"/>
      <c r="F10" s="80" t="s">
        <v>16</v>
      </c>
      <c r="G10" s="79" t="s">
        <v>16</v>
      </c>
      <c r="H10" s="79">
        <f>C10/100*0.366</f>
        <v>3.66</v>
      </c>
      <c r="I10" s="79">
        <f>C10/100*0.122</f>
        <v>1.22</v>
      </c>
      <c r="J10" s="81"/>
      <c r="K10"/>
    </row>
    <row r="11" spans="1:11" ht="15.75">
      <c r="A11" s="100" t="s">
        <v>70</v>
      </c>
      <c r="B11" s="101"/>
      <c r="C11" s="101"/>
      <c r="D11" s="101"/>
      <c r="E11" s="101"/>
      <c r="F11" s="101"/>
      <c r="G11" s="101"/>
      <c r="H11" s="101"/>
      <c r="I11" s="101"/>
      <c r="J11" s="102"/>
      <c r="K11"/>
    </row>
    <row r="12" spans="1:11" ht="28.5" customHeight="1">
      <c r="A12" s="5">
        <v>1</v>
      </c>
      <c r="B12" s="9" t="s">
        <v>26</v>
      </c>
      <c r="C12" s="7">
        <f>Sheet1!H19</f>
        <v>90</v>
      </c>
      <c r="D12" s="4" t="s">
        <v>22</v>
      </c>
      <c r="E12" s="4"/>
      <c r="F12" s="4" t="s">
        <v>16</v>
      </c>
      <c r="G12" s="7" t="s">
        <v>16</v>
      </c>
      <c r="H12" s="7">
        <f>C12*0.44</f>
        <v>39.6</v>
      </c>
      <c r="I12" s="7">
        <f>C12*0.22</f>
        <v>19.8</v>
      </c>
      <c r="J12" s="7">
        <f>C12*0.88</f>
        <v>79.2</v>
      </c>
      <c r="K12"/>
    </row>
    <row r="13" spans="1:11" ht="29.25" customHeight="1">
      <c r="A13" s="5">
        <v>2</v>
      </c>
      <c r="B13" s="9" t="s">
        <v>23</v>
      </c>
      <c r="C13" s="7">
        <f>Sheet1!H20</f>
        <v>100</v>
      </c>
      <c r="D13" s="4" t="s">
        <v>22</v>
      </c>
      <c r="E13" s="4"/>
      <c r="F13" s="31">
        <f>C13*389</f>
        <v>38900</v>
      </c>
      <c r="G13" s="7" t="s">
        <v>16</v>
      </c>
      <c r="H13" s="7">
        <f>C13*0.33</f>
        <v>33</v>
      </c>
      <c r="I13" s="7">
        <f>C13*0.083</f>
        <v>8.3000000000000007</v>
      </c>
      <c r="J13" s="8" t="s">
        <v>16</v>
      </c>
      <c r="K13"/>
    </row>
    <row r="14" spans="1:11" ht="18">
      <c r="A14" s="25">
        <v>3</v>
      </c>
      <c r="B14" s="24" t="s">
        <v>44</v>
      </c>
      <c r="C14" s="7">
        <f>Sheet1!H21</f>
        <v>1200</v>
      </c>
      <c r="D14" s="4" t="s">
        <v>21</v>
      </c>
      <c r="E14" s="4"/>
      <c r="F14" s="4" t="s">
        <v>16</v>
      </c>
      <c r="G14" s="7" t="s">
        <v>16</v>
      </c>
      <c r="H14" s="7">
        <f>C14/100*1.46</f>
        <v>17.52</v>
      </c>
      <c r="I14" s="7">
        <f>C14/100*0.366</f>
        <v>4.3919999999999995</v>
      </c>
      <c r="J14" s="8"/>
      <c r="K14"/>
    </row>
    <row r="15" spans="1:11" ht="18.75" customHeight="1">
      <c r="A15" s="25">
        <v>4</v>
      </c>
      <c r="B15" s="6" t="s">
        <v>25</v>
      </c>
      <c r="C15" s="7">
        <f>Sheet1!H22</f>
        <v>1200</v>
      </c>
      <c r="D15" s="4" t="s">
        <v>21</v>
      </c>
      <c r="E15" s="4"/>
      <c r="F15" s="4" t="s">
        <v>16</v>
      </c>
      <c r="G15" s="7" t="s">
        <v>16</v>
      </c>
      <c r="H15" s="7" t="s">
        <v>16</v>
      </c>
      <c r="I15" s="7">
        <f>C15/100*0.152</f>
        <v>1.8239999999999998</v>
      </c>
      <c r="J15" s="8"/>
      <c r="K15"/>
    </row>
    <row r="16" spans="1:11" s="44" customFormat="1" ht="21" customHeight="1">
      <c r="A16" s="94" t="s">
        <v>11</v>
      </c>
      <c r="B16" s="95"/>
      <c r="C16" s="95"/>
      <c r="D16" s="96"/>
      <c r="E16" s="85">
        <f>SUM(E7:E15)</f>
        <v>90</v>
      </c>
      <c r="F16" s="47">
        <f>SUM(F7:F15)</f>
        <v>92700</v>
      </c>
      <c r="G16" s="47">
        <f t="shared" ref="G16:J16" si="0">SUM(G8:G15)</f>
        <v>48</v>
      </c>
      <c r="H16" s="47">
        <f t="shared" si="0"/>
        <v>93.78</v>
      </c>
      <c r="I16" s="47">
        <f t="shared" si="0"/>
        <v>35.536000000000001</v>
      </c>
      <c r="J16" s="47">
        <f t="shared" si="0"/>
        <v>79.2</v>
      </c>
    </row>
    <row r="17" spans="1:11">
      <c r="A17" s="97" t="s">
        <v>50</v>
      </c>
      <c r="B17" s="98"/>
      <c r="C17" s="98"/>
      <c r="D17" s="98"/>
      <c r="E17" s="32">
        <f>SUM(E8:E16)</f>
        <v>90</v>
      </c>
      <c r="F17" s="84">
        <f>ROUND(F16,0)</f>
        <v>92700</v>
      </c>
      <c r="G17" s="32">
        <f>ROUND(G16,2)</f>
        <v>48</v>
      </c>
      <c r="H17" s="32">
        <f>ROUND(H16,2)</f>
        <v>93.78</v>
      </c>
      <c r="I17" s="33">
        <f>ROUND(I16/0.035,0)</f>
        <v>1015</v>
      </c>
      <c r="J17" s="32">
        <f>ROUND(J16,2)</f>
        <v>79.2</v>
      </c>
      <c r="K17"/>
    </row>
    <row r="18" spans="1:11" ht="17.25">
      <c r="A18" s="97"/>
      <c r="B18" s="98"/>
      <c r="C18" s="98"/>
      <c r="D18" s="98"/>
      <c r="E18" s="34" t="s">
        <v>55</v>
      </c>
      <c r="F18" s="86" t="s">
        <v>54</v>
      </c>
      <c r="G18" s="34" t="s">
        <v>55</v>
      </c>
      <c r="H18" s="34" t="s">
        <v>55</v>
      </c>
      <c r="I18" s="34" t="s">
        <v>49</v>
      </c>
      <c r="J18" s="34" t="s">
        <v>55</v>
      </c>
    </row>
    <row r="19" spans="1:11" s="14" customFormat="1" ht="43.5" customHeight="1"/>
    <row r="20" spans="1:11" s="1" customFormat="1" ht="38.25" customHeight="1"/>
    <row r="21" spans="1:11">
      <c r="K21"/>
    </row>
    <row r="22" spans="1:11">
      <c r="K22"/>
    </row>
    <row r="23" spans="1:11">
      <c r="K23"/>
    </row>
    <row r="24" spans="1:11">
      <c r="K24"/>
    </row>
    <row r="25" spans="1:11">
      <c r="K25"/>
    </row>
    <row r="26" spans="1:11">
      <c r="K26"/>
    </row>
  </sheetData>
  <mergeCells count="5">
    <mergeCell ref="A4:J5"/>
    <mergeCell ref="A16:D16"/>
    <mergeCell ref="A17:D18"/>
    <mergeCell ref="A3:J3"/>
    <mergeCell ref="A11:J11"/>
  </mergeCells>
  <printOptions horizontalCentered="1"/>
  <pageMargins left="0.31496062992125984" right="0.31496062992125984" top="0.31496062992125984" bottom="0.31496062992125984" header="0.19685039370078741" footer="0.11811023622047245"/>
  <pageSetup paperSize="9" fitToWidth="4" orientation="landscape" horizontalDpi="300" verticalDpi="300" r:id="rId1"/>
  <headerFooter>
    <oddFooter>&amp;L&amp;F&amp;R&amp;P/&amp;N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H18"/>
  <sheetViews>
    <sheetView view="pageBreakPreview" topLeftCell="A10" zoomScaleSheetLayoutView="100" workbookViewId="0">
      <selection activeCell="B4" sqref="B4:G4"/>
    </sheetView>
  </sheetViews>
  <sheetFormatPr defaultRowHeight="15"/>
  <cols>
    <col min="1" max="1" width="6.85546875" style="14" customWidth="1"/>
    <col min="2" max="2" width="33.28515625" style="14" customWidth="1"/>
    <col min="3" max="3" width="9.42578125" style="14" customWidth="1"/>
    <col min="4" max="4" width="12.85546875" style="14" customWidth="1"/>
    <col min="5" max="7" width="13" customWidth="1"/>
  </cols>
  <sheetData>
    <row r="3" spans="1:8" ht="27" customHeight="1">
      <c r="A3" s="105" t="s">
        <v>82</v>
      </c>
      <c r="B3" s="105"/>
      <c r="C3" s="105"/>
      <c r="D3" s="105"/>
      <c r="E3" s="105"/>
      <c r="F3" s="105"/>
      <c r="G3" s="105"/>
      <c r="H3" s="2"/>
    </row>
    <row r="4" spans="1:8" ht="45" customHeight="1">
      <c r="B4" s="113" t="s">
        <v>88</v>
      </c>
      <c r="C4" s="113"/>
      <c r="D4" s="113"/>
      <c r="E4" s="113"/>
      <c r="F4" s="113"/>
      <c r="G4" s="113"/>
    </row>
    <row r="5" spans="1:8" s="18" customFormat="1" ht="30.75" customHeight="1">
      <c r="A5" s="16" t="s">
        <v>13</v>
      </c>
      <c r="B5" s="17" t="s">
        <v>27</v>
      </c>
      <c r="C5" s="28" t="s">
        <v>15</v>
      </c>
      <c r="D5" s="17" t="s">
        <v>5</v>
      </c>
      <c r="E5" s="27" t="s">
        <v>83</v>
      </c>
      <c r="F5" s="27" t="s">
        <v>84</v>
      </c>
      <c r="G5" s="16" t="s">
        <v>85</v>
      </c>
    </row>
    <row r="6" spans="1:8" s="10" customFormat="1" ht="41.25" customHeight="1">
      <c r="A6" s="15">
        <v>1</v>
      </c>
      <c r="B6" s="9" t="s">
        <v>63</v>
      </c>
      <c r="C6" s="4" t="s">
        <v>22</v>
      </c>
      <c r="D6" s="39">
        <f>Sheet1!H18</f>
        <v>270</v>
      </c>
      <c r="E6" s="36">
        <f>D6/1.95</f>
        <v>138.46153846153845</v>
      </c>
      <c r="F6" s="26" t="s">
        <v>16</v>
      </c>
      <c r="G6" s="50" t="s">
        <v>16</v>
      </c>
    </row>
    <row r="7" spans="1:8" s="10" customFormat="1" ht="51" customHeight="1">
      <c r="A7" s="15">
        <v>2</v>
      </c>
      <c r="B7" s="9" t="s">
        <v>48</v>
      </c>
      <c r="C7" s="4" t="s">
        <v>21</v>
      </c>
      <c r="D7" s="39">
        <f>Sheet1!H8</f>
        <v>1000</v>
      </c>
      <c r="E7" s="36">
        <f>D7/12</f>
        <v>83.333333333333329</v>
      </c>
      <c r="F7" s="26" t="s">
        <v>16</v>
      </c>
      <c r="G7" s="50" t="s">
        <v>16</v>
      </c>
    </row>
    <row r="8" spans="1:8" s="10" customFormat="1" ht="60">
      <c r="A8" s="15">
        <v>3</v>
      </c>
      <c r="B8" s="9" t="s">
        <v>77</v>
      </c>
      <c r="C8" s="4" t="s">
        <v>21</v>
      </c>
      <c r="D8" s="39">
        <v>1000</v>
      </c>
      <c r="E8" s="36">
        <f>D8/150*10</f>
        <v>66.666666666666671</v>
      </c>
      <c r="F8" s="36">
        <f>D8/150*1</f>
        <v>6.666666666666667</v>
      </c>
      <c r="G8" s="36">
        <f>D8/150*1</f>
        <v>6.666666666666667</v>
      </c>
    </row>
    <row r="9" spans="1:8" s="22" customFormat="1" ht="45" customHeight="1">
      <c r="A9" s="15">
        <v>4</v>
      </c>
      <c r="B9" s="40" t="s">
        <v>30</v>
      </c>
      <c r="C9" s="4" t="s">
        <v>22</v>
      </c>
      <c r="D9" s="7">
        <f>Sheet1!H19</f>
        <v>90</v>
      </c>
      <c r="E9" s="36">
        <f>D9/2*3</f>
        <v>135</v>
      </c>
      <c r="F9" s="26" t="s">
        <v>16</v>
      </c>
      <c r="G9" s="45">
        <f>D9/2*2</f>
        <v>90</v>
      </c>
    </row>
    <row r="10" spans="1:8" s="22" customFormat="1" ht="47.25" customHeight="1">
      <c r="A10" s="15">
        <v>5</v>
      </c>
      <c r="B10" s="40" t="s">
        <v>32</v>
      </c>
      <c r="C10" s="4" t="s">
        <v>21</v>
      </c>
      <c r="D10" s="7">
        <f>Sheet1!H11</f>
        <v>1000</v>
      </c>
      <c r="E10" s="42">
        <f>D10/29</f>
        <v>34.482758620689658</v>
      </c>
      <c r="F10" s="29" t="s">
        <v>16</v>
      </c>
      <c r="G10" s="51" t="s">
        <v>16</v>
      </c>
    </row>
    <row r="11" spans="1:8" s="22" customFormat="1" ht="39.75" customHeight="1">
      <c r="A11" s="15">
        <v>6</v>
      </c>
      <c r="B11" s="40" t="s">
        <v>31</v>
      </c>
      <c r="C11" s="4" t="s">
        <v>22</v>
      </c>
      <c r="D11" s="7">
        <f>Sheet1!H20</f>
        <v>100</v>
      </c>
      <c r="E11" s="36">
        <f>D11/1.4*2</f>
        <v>142.85714285714286</v>
      </c>
      <c r="F11" s="26" t="s">
        <v>16</v>
      </c>
      <c r="G11" s="45">
        <f>D11/1.4*1</f>
        <v>71.428571428571431</v>
      </c>
    </row>
    <row r="12" spans="1:8" s="22" customFormat="1" ht="40.5" customHeight="1">
      <c r="A12" s="15">
        <v>7</v>
      </c>
      <c r="B12" s="75" t="s">
        <v>71</v>
      </c>
      <c r="C12" s="4" t="s">
        <v>21</v>
      </c>
      <c r="D12" s="8">
        <f>Sheet1!H21</f>
        <v>1200</v>
      </c>
      <c r="E12" s="36">
        <f>D12/18*3</f>
        <v>200</v>
      </c>
      <c r="F12" s="26" t="s">
        <v>16</v>
      </c>
      <c r="G12" s="52">
        <f>D12/18*2</f>
        <v>133.33333333333334</v>
      </c>
    </row>
    <row r="13" spans="1:8" s="10" customFormat="1" ht="48.75" customHeight="1">
      <c r="A13" s="15">
        <v>8</v>
      </c>
      <c r="B13" s="9" t="s">
        <v>34</v>
      </c>
      <c r="C13" s="4" t="s">
        <v>21</v>
      </c>
      <c r="D13" s="7">
        <f>Sheet1!H12</f>
        <v>1000</v>
      </c>
      <c r="E13" s="36">
        <f>D13/18*1</f>
        <v>55.555555555555557</v>
      </c>
      <c r="F13" s="26" t="s">
        <v>16</v>
      </c>
      <c r="G13" s="52">
        <f>D13/18*2</f>
        <v>111.11111111111111</v>
      </c>
    </row>
    <row r="14" spans="1:8" s="10" customFormat="1" ht="30.75" customHeight="1">
      <c r="A14" s="15">
        <v>9</v>
      </c>
      <c r="B14" s="9" t="s">
        <v>33</v>
      </c>
      <c r="C14" s="4" t="s">
        <v>21</v>
      </c>
      <c r="D14" s="7">
        <f>Sheet1!H22</f>
        <v>1200</v>
      </c>
      <c r="E14" s="36">
        <f>D14/50*1</f>
        <v>24</v>
      </c>
      <c r="F14" s="26" t="s">
        <v>16</v>
      </c>
      <c r="G14" s="52">
        <f>D14/50*2</f>
        <v>48</v>
      </c>
    </row>
    <row r="15" spans="1:8" s="10" customFormat="1" ht="30.75" customHeight="1">
      <c r="A15" s="15">
        <v>10</v>
      </c>
      <c r="B15" s="9" t="s">
        <v>79</v>
      </c>
      <c r="C15" s="4" t="s">
        <v>61</v>
      </c>
      <c r="D15" s="7">
        <f xml:space="preserve"> SUM(E6:E14)</f>
        <v>880.35699549492654</v>
      </c>
      <c r="E15" s="36">
        <f>D15/100</f>
        <v>8.8035699549492659</v>
      </c>
      <c r="F15" s="76" t="s">
        <v>16</v>
      </c>
      <c r="G15" s="76" t="s">
        <v>16</v>
      </c>
    </row>
    <row r="16" spans="1:8" s="10" customFormat="1" ht="26.25" customHeight="1">
      <c r="A16" s="15">
        <v>11</v>
      </c>
      <c r="B16" s="41" t="s">
        <v>56</v>
      </c>
      <c r="C16" s="50" t="s">
        <v>51</v>
      </c>
      <c r="D16" s="45">
        <f>SUM(E6:E15)</f>
        <v>889.16056544987578</v>
      </c>
      <c r="E16" s="36" t="s">
        <v>16</v>
      </c>
      <c r="F16" s="43">
        <f>D16/25</f>
        <v>35.56642261799503</v>
      </c>
      <c r="G16" s="52" t="s">
        <v>16</v>
      </c>
    </row>
    <row r="17" spans="1:7" s="49" customFormat="1" ht="19.5" customHeight="1">
      <c r="A17" s="106" t="s">
        <v>11</v>
      </c>
      <c r="B17" s="107"/>
      <c r="C17" s="107"/>
      <c r="D17" s="108"/>
      <c r="E17" s="35">
        <f>SUM(E6:E16)</f>
        <v>889.16056544987578</v>
      </c>
      <c r="F17" s="35">
        <f t="shared" ref="F17:G17" si="0">SUM(F6:F16)</f>
        <v>42.233089284661695</v>
      </c>
      <c r="G17" s="35">
        <f t="shared" si="0"/>
        <v>460.53968253968253</v>
      </c>
    </row>
    <row r="18" spans="1:7" s="44" customFormat="1">
      <c r="A18" s="103" t="s">
        <v>50</v>
      </c>
      <c r="B18" s="103"/>
      <c r="C18" s="103"/>
      <c r="D18" s="104"/>
      <c r="E18" s="35">
        <f>ROUND(E17,0)</f>
        <v>889</v>
      </c>
      <c r="F18" s="35">
        <f t="shared" ref="F18" si="1">ROUND(F17,0)</f>
        <v>42</v>
      </c>
      <c r="G18" s="53">
        <f t="shared" ref="G18" si="2">ROUND(G17,0)</f>
        <v>461</v>
      </c>
    </row>
  </sheetData>
  <mergeCells count="4">
    <mergeCell ref="A18:D18"/>
    <mergeCell ref="A3:G3"/>
    <mergeCell ref="A17:D17"/>
    <mergeCell ref="B4:G4"/>
  </mergeCells>
  <printOptions horizontalCentered="1"/>
  <pageMargins left="0.31496062992125984" right="0.31496062992125984" top="0.31496062992125984" bottom="0.31496062992125984" header="0.19685039370078741" footer="0.11811023622047245"/>
  <pageSetup paperSize="9" fitToHeight="4" orientation="landscape" horizontalDpi="300" verticalDpi="300" r:id="rId1"/>
  <headerFooter>
    <oddFooter>&amp;L&amp;F&amp;R&amp;P/&amp;N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tabSelected="1" view="pageBreakPreview" topLeftCell="A13" zoomScaleSheetLayoutView="100" workbookViewId="0">
      <selection activeCell="E25" sqref="E25"/>
    </sheetView>
  </sheetViews>
  <sheetFormatPr defaultRowHeight="15"/>
  <cols>
    <col min="1" max="1" width="22" customWidth="1"/>
    <col min="2" max="2" width="10.42578125" customWidth="1"/>
    <col min="3" max="3" width="18" customWidth="1"/>
    <col min="4" max="4" width="24.85546875" customWidth="1"/>
    <col min="5" max="5" width="23" customWidth="1"/>
  </cols>
  <sheetData>
    <row r="1" spans="1:5" ht="30" customHeight="1">
      <c r="A1" s="109" t="s">
        <v>87</v>
      </c>
      <c r="B1" s="109"/>
      <c r="C1" s="109"/>
      <c r="D1" s="109"/>
      <c r="E1" s="109"/>
    </row>
    <row r="2" spans="1:5">
      <c r="C2" s="30" t="s">
        <v>46</v>
      </c>
      <c r="D2" t="s">
        <v>72</v>
      </c>
    </row>
    <row r="3" spans="1:5">
      <c r="C3" s="30"/>
    </row>
    <row r="4" spans="1:5" ht="15.75">
      <c r="A4" s="16" t="s">
        <v>58</v>
      </c>
      <c r="B4" s="28" t="s">
        <v>15</v>
      </c>
      <c r="C4" s="28" t="s">
        <v>5</v>
      </c>
      <c r="D4" s="28" t="s">
        <v>59</v>
      </c>
      <c r="E4" s="28" t="s">
        <v>60</v>
      </c>
    </row>
    <row r="5" spans="1:5" ht="20.25">
      <c r="A5" s="20" t="s">
        <v>35</v>
      </c>
      <c r="B5" s="20"/>
    </row>
    <row r="6" spans="1:5">
      <c r="A6" s="19" t="s">
        <v>28</v>
      </c>
      <c r="B6" s="46" t="s">
        <v>61</v>
      </c>
      <c r="C6" s="23">
        <f>Sheet3!E18</f>
        <v>889</v>
      </c>
      <c r="D6" s="45">
        <v>180</v>
      </c>
      <c r="E6" s="45">
        <f>C6*D6</f>
        <v>160020</v>
      </c>
    </row>
    <row r="7" spans="1:5" ht="20.25">
      <c r="A7" s="20" t="s">
        <v>36</v>
      </c>
      <c r="B7" s="20"/>
      <c r="C7" s="21"/>
      <c r="D7" s="21"/>
      <c r="E7" s="21"/>
    </row>
    <row r="8" spans="1:5" ht="46.5" customHeight="1">
      <c r="A8" s="37" t="s">
        <v>78</v>
      </c>
      <c r="B8" s="48" t="s">
        <v>61</v>
      </c>
      <c r="C8" s="23">
        <f>Sheet3!F18</f>
        <v>42</v>
      </c>
      <c r="D8" s="45">
        <v>270</v>
      </c>
      <c r="E8" s="45">
        <f>C8*D8</f>
        <v>11340</v>
      </c>
    </row>
    <row r="9" spans="1:5">
      <c r="A9" s="19" t="s">
        <v>37</v>
      </c>
      <c r="B9" s="46" t="s">
        <v>61</v>
      </c>
      <c r="C9" s="23">
        <f>Sheet3!G18</f>
        <v>461</v>
      </c>
      <c r="D9" s="45">
        <v>380</v>
      </c>
      <c r="E9" s="45">
        <f t="shared" ref="E9:E18" si="0">C9*D9</f>
        <v>175180</v>
      </c>
    </row>
    <row r="10" spans="1:5" ht="20.25">
      <c r="A10" s="116" t="s">
        <v>38</v>
      </c>
      <c r="B10" s="117"/>
      <c r="C10" s="117"/>
      <c r="D10" s="117"/>
      <c r="E10" s="117"/>
    </row>
    <row r="11" spans="1:5">
      <c r="A11" s="19" t="s">
        <v>41</v>
      </c>
      <c r="B11" s="46" t="s">
        <v>61</v>
      </c>
      <c r="C11" s="23">
        <f>Sheet2!F17</f>
        <v>92700</v>
      </c>
      <c r="D11" s="45">
        <v>8</v>
      </c>
      <c r="E11" s="45">
        <f>C11*D11</f>
        <v>741600</v>
      </c>
    </row>
    <row r="12" spans="1:5" ht="18">
      <c r="A12" s="19" t="s">
        <v>75</v>
      </c>
      <c r="B12" s="4" t="s">
        <v>22</v>
      </c>
      <c r="C12" s="23">
        <f>Sheet2!E16</f>
        <v>90</v>
      </c>
      <c r="D12" s="45">
        <v>1170</v>
      </c>
      <c r="E12" s="45">
        <f>C12*D12</f>
        <v>105300</v>
      </c>
    </row>
    <row r="13" spans="1:5" ht="18">
      <c r="A13" s="19" t="s">
        <v>39</v>
      </c>
      <c r="B13" s="4" t="s">
        <v>22</v>
      </c>
      <c r="C13" s="45">
        <f>Sheet2!G17</f>
        <v>48</v>
      </c>
      <c r="D13" s="45">
        <v>350</v>
      </c>
      <c r="E13" s="45">
        <f>C13*D13</f>
        <v>16800</v>
      </c>
    </row>
    <row r="14" spans="1:5" ht="18">
      <c r="A14" s="19" t="s">
        <v>40</v>
      </c>
      <c r="B14" s="4" t="s">
        <v>22</v>
      </c>
      <c r="C14" s="45">
        <f>Sheet2!H17</f>
        <v>93.78</v>
      </c>
      <c r="D14" s="45">
        <v>550</v>
      </c>
      <c r="E14" s="45">
        <f>C14*D14</f>
        <v>51579</v>
      </c>
    </row>
    <row r="15" spans="1:5">
      <c r="A15" s="19" t="s">
        <v>42</v>
      </c>
      <c r="B15" s="46" t="s">
        <v>62</v>
      </c>
      <c r="C15" s="23">
        <f>Sheet2!I17</f>
        <v>1015</v>
      </c>
      <c r="D15" s="45">
        <v>378</v>
      </c>
      <c r="E15" s="45">
        <f t="shared" si="0"/>
        <v>383670</v>
      </c>
    </row>
    <row r="16" spans="1:5" ht="18">
      <c r="A16" s="19" t="s">
        <v>67</v>
      </c>
      <c r="B16" s="4" t="s">
        <v>22</v>
      </c>
      <c r="C16" s="45">
        <f>Sheet2!J17</f>
        <v>79.2</v>
      </c>
      <c r="D16" s="45">
        <v>2550</v>
      </c>
      <c r="E16" s="45">
        <f t="shared" si="0"/>
        <v>201960</v>
      </c>
    </row>
    <row r="17" spans="1:5">
      <c r="A17" s="19" t="s">
        <v>64</v>
      </c>
      <c r="B17" s="50" t="s">
        <v>51</v>
      </c>
      <c r="C17" s="45">
        <v>1</v>
      </c>
      <c r="D17" s="45">
        <v>2500</v>
      </c>
      <c r="E17" s="45">
        <f t="shared" si="0"/>
        <v>2500</v>
      </c>
    </row>
    <row r="18" spans="1:5" ht="75">
      <c r="A18" s="87" t="s">
        <v>80</v>
      </c>
      <c r="B18" s="88" t="s">
        <v>81</v>
      </c>
      <c r="C18" s="45">
        <v>3</v>
      </c>
      <c r="D18" s="45">
        <v>2000</v>
      </c>
      <c r="E18" s="45">
        <f t="shared" si="0"/>
        <v>6000</v>
      </c>
    </row>
    <row r="19" spans="1:5">
      <c r="D19" t="s">
        <v>92</v>
      </c>
      <c r="E19" s="54">
        <f>SUM(E6:E18)</f>
        <v>1855949</v>
      </c>
    </row>
    <row r="20" spans="1:5">
      <c r="D20" t="s">
        <v>91</v>
      </c>
      <c r="E20" s="54">
        <f>E19-E6</f>
        <v>1695929</v>
      </c>
    </row>
    <row r="21" spans="1:5">
      <c r="D21" t="s">
        <v>93</v>
      </c>
      <c r="E21" s="54">
        <f>E6</f>
        <v>160020</v>
      </c>
    </row>
    <row r="22" spans="1:5" ht="17.25" customHeight="1">
      <c r="A22" s="20" t="s">
        <v>43</v>
      </c>
      <c r="B22" s="20"/>
      <c r="C22" s="118" t="s">
        <v>94</v>
      </c>
      <c r="E22" s="119">
        <f>SUM(E20:E21)</f>
        <v>1855949</v>
      </c>
    </row>
    <row r="23" spans="1:5" s="121" customFormat="1" ht="17.25" customHeight="1">
      <c r="A23" s="120" t="s">
        <v>95</v>
      </c>
      <c r="B23" s="120"/>
      <c r="D23" s="122"/>
      <c r="E23" s="123"/>
    </row>
    <row r="24" spans="1:5" ht="17.25" customHeight="1">
      <c r="A24" s="126" t="s">
        <v>96</v>
      </c>
      <c r="B24" s="125" t="s">
        <v>97</v>
      </c>
      <c r="C24" s="124"/>
      <c r="D24" s="127" t="s">
        <v>98</v>
      </c>
      <c r="E24" s="119"/>
    </row>
    <row r="25" spans="1:5">
      <c r="A25" s="110"/>
      <c r="B25" s="110"/>
      <c r="C25" s="110"/>
      <c r="D25" s="110"/>
    </row>
  </sheetData>
  <mergeCells count="2">
    <mergeCell ref="A1:E1"/>
    <mergeCell ref="A25:D25"/>
  </mergeCells>
  <printOptions horizontalCentered="1"/>
  <pageMargins left="0.31496062992125984" right="0.31496062992125984" top="0.31496062992125984" bottom="0.31496062992125984" header="0.19685039370078741" footer="0.11811023622047245"/>
  <pageSetup paperSize="9" orientation="landscape" horizontalDpi="300" verticalDpi="300" r:id="rId1"/>
  <headerFooter>
    <oddFooter>&amp;L&amp;F&amp;R&amp;P/&amp;N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Sheet1</vt:lpstr>
      <vt:lpstr>Sheet2</vt:lpstr>
      <vt:lpstr>Sheet3</vt:lpstr>
      <vt:lpstr>Sheet4</vt:lpstr>
      <vt:lpstr>Sheet1!Print_Area</vt:lpstr>
      <vt:lpstr>Sheet2!Print_Area</vt:lpstr>
      <vt:lpstr>Sheet3!Print_Area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2013-04-29T11:59:22Z</cp:lastPrinted>
  <dcterms:created xsi:type="dcterms:W3CDTF">2011-12-17T12:25:46Z</dcterms:created>
  <dcterms:modified xsi:type="dcterms:W3CDTF">2017-05-21T06:19:22Z</dcterms:modified>
</cp:coreProperties>
</file>